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05" windowWidth="15600" windowHeight="11565" activeTab="6"/>
  </bookViews>
  <sheets>
    <sheet name="Ex 8.1" sheetId="11" r:id="rId1"/>
    <sheet name="Ex 8.2" sheetId="13" r:id="rId2"/>
    <sheet name="Ex 8.3" sheetId="5" r:id="rId3"/>
    <sheet name="Ex 8.4" sheetId="6" r:id="rId4"/>
    <sheet name="Ex 8.5a" sheetId="7" r:id="rId5"/>
    <sheet name="Ex 8.5b" sheetId="8" r:id="rId6"/>
    <sheet name="Ex 8.6" sheetId="9" r:id="rId7"/>
    <sheet name="Ex 9.1" sheetId="10" r:id="rId8"/>
  </sheets>
  <definedNames>
    <definedName name="solver_adj" localSheetId="2" hidden="1">'Ex 8.3'!$F$9</definedName>
    <definedName name="solver_adj" localSheetId="6" hidden="1">'Ex 8.6'!$C$8:$C$9</definedName>
    <definedName name="solver_adj" localSheetId="7" hidden="1">'Ex 9.1'!$C$8:$C$10</definedName>
    <definedName name="solver_cvg" localSheetId="2" hidden="1">0.0001</definedName>
    <definedName name="solver_cvg" localSheetId="6" hidden="1">0.0001</definedName>
    <definedName name="solver_cvg" localSheetId="7" hidden="1">0.0001</definedName>
    <definedName name="solver_drv" localSheetId="2" hidden="1">1</definedName>
    <definedName name="solver_drv" localSheetId="6" hidden="1">1</definedName>
    <definedName name="solver_drv" localSheetId="7" hidden="1">1</definedName>
    <definedName name="solver_eng" localSheetId="2" hidden="1">1</definedName>
    <definedName name="solver_eng" localSheetId="6" hidden="1">1</definedName>
    <definedName name="solver_est" localSheetId="2" hidden="1">1</definedName>
    <definedName name="solver_est" localSheetId="6" hidden="1">1</definedName>
    <definedName name="solver_est" localSheetId="7" hidden="1">1</definedName>
    <definedName name="solver_itr" localSheetId="2" hidden="1">100</definedName>
    <definedName name="solver_itr" localSheetId="6" hidden="1">100</definedName>
    <definedName name="solver_itr" localSheetId="7" hidden="1">100</definedName>
    <definedName name="solver_lhs1" localSheetId="2" hidden="1">'Ex 8.3'!$F$9</definedName>
    <definedName name="solver_lhs1" localSheetId="7" hidden="1">'Ex 9.1'!$C$10</definedName>
    <definedName name="solver_lhs2" localSheetId="2" hidden="1">'Ex 8.3'!$F$9</definedName>
    <definedName name="solver_lin" localSheetId="2" hidden="1">2</definedName>
    <definedName name="solver_lin" localSheetId="6" hidden="1">2</definedName>
    <definedName name="solver_lin" localSheetId="7" hidden="1">2</definedName>
    <definedName name="solver_mip" localSheetId="6" hidden="1">2147483647</definedName>
    <definedName name="solver_mni" localSheetId="6" hidden="1">30</definedName>
    <definedName name="solver_mrt" localSheetId="6" hidden="1">0.075</definedName>
    <definedName name="solver_msl" localSheetId="6" hidden="1">2</definedName>
    <definedName name="solver_neg" localSheetId="2" hidden="1">2</definedName>
    <definedName name="solver_neg" localSheetId="6" hidden="1">2</definedName>
    <definedName name="solver_neg" localSheetId="7" hidden="1">2</definedName>
    <definedName name="solver_nod" localSheetId="6" hidden="1">2147483647</definedName>
    <definedName name="solver_num" localSheetId="2" hidden="1">1</definedName>
    <definedName name="solver_num" localSheetId="6" hidden="1">0</definedName>
    <definedName name="solver_num" localSheetId="7" hidden="1">0</definedName>
    <definedName name="solver_nwt" localSheetId="2" hidden="1">1</definedName>
    <definedName name="solver_nwt" localSheetId="6" hidden="1">1</definedName>
    <definedName name="solver_nwt" localSheetId="7" hidden="1">1</definedName>
    <definedName name="solver_opt" localSheetId="2" hidden="1">'Ex 8.3'!$H$9</definedName>
    <definedName name="solver_opt" localSheetId="6" hidden="1">'Ex 8.6'!$E$24</definedName>
    <definedName name="solver_opt" localSheetId="7" hidden="1">'Ex 9.1'!$G$15</definedName>
    <definedName name="solver_pre" localSheetId="2" hidden="1">0.000001</definedName>
    <definedName name="solver_pre" localSheetId="6" hidden="1">0.000001</definedName>
    <definedName name="solver_pre" localSheetId="7" hidden="1">0.000001</definedName>
    <definedName name="solver_rbv" localSheetId="6" hidden="1">1</definedName>
    <definedName name="solver_rel1" localSheetId="2" hidden="1">3</definedName>
    <definedName name="solver_rel1" localSheetId="7" hidden="1">3</definedName>
    <definedName name="solver_rel2" localSheetId="2" hidden="1">3</definedName>
    <definedName name="solver_rhs1" localSheetId="2" hidden="1">0.02</definedName>
    <definedName name="solver_rhs1" localSheetId="7" hidden="1">0.5</definedName>
    <definedName name="solver_rhs2" localSheetId="2" hidden="1">0</definedName>
    <definedName name="solver_rlx" localSheetId="6" hidden="1">1</definedName>
    <definedName name="solver_rsd" localSheetId="6" hidden="1">0</definedName>
    <definedName name="solver_scl" localSheetId="2" hidden="1">2</definedName>
    <definedName name="solver_scl" localSheetId="6" hidden="1">2</definedName>
    <definedName name="solver_scl" localSheetId="7" hidden="1">2</definedName>
    <definedName name="solver_sho" localSheetId="2" hidden="1">2</definedName>
    <definedName name="solver_sho" localSheetId="6" hidden="1">2</definedName>
    <definedName name="solver_sho" localSheetId="7" hidden="1">2</definedName>
    <definedName name="solver_ssz" localSheetId="6" hidden="1">100</definedName>
    <definedName name="solver_tim" localSheetId="2" hidden="1">100</definedName>
    <definedName name="solver_tim" localSheetId="6" hidden="1">100</definedName>
    <definedName name="solver_tim" localSheetId="7" hidden="1">100</definedName>
    <definedName name="solver_tol" localSheetId="2" hidden="1">0.05</definedName>
    <definedName name="solver_tol" localSheetId="6" hidden="1">0.05</definedName>
    <definedName name="solver_tol" localSheetId="7" hidden="1">0.05</definedName>
    <definedName name="solver_typ" localSheetId="2" hidden="1">3</definedName>
    <definedName name="solver_typ" localSheetId="6" hidden="1">1</definedName>
    <definedName name="solver_typ" localSheetId="7" hidden="1">1</definedName>
    <definedName name="solver_val" localSheetId="2" hidden="1">0.1</definedName>
    <definedName name="solver_val" localSheetId="6" hidden="1">0.1</definedName>
    <definedName name="solver_val" localSheetId="7" hidden="1">0.1</definedName>
    <definedName name="solver_ver" localSheetId="2" hidden="1">3</definedName>
    <definedName name="solver_ver" localSheetId="6" hidden="1">3</definedName>
  </definedNames>
  <calcPr calcId="145621"/>
</workbook>
</file>

<file path=xl/calcChain.xml><?xml version="1.0" encoding="utf-8"?>
<calcChain xmlns="http://schemas.openxmlformats.org/spreadsheetml/2006/main">
  <c r="C12" i="13" l="1"/>
  <c r="D11" i="13"/>
  <c r="C11" i="13" l="1"/>
  <c r="C11" i="11"/>
  <c r="D10" i="11" s="1"/>
  <c r="C10" i="11"/>
  <c r="G14" i="7" l="1"/>
  <c r="G12" i="7"/>
  <c r="G13" i="7"/>
  <c r="F14" i="7"/>
  <c r="F12" i="7"/>
  <c r="F8" i="7"/>
  <c r="F6" i="7"/>
  <c r="G7" i="7" l="1"/>
  <c r="E55" i="7" s="1"/>
  <c r="E106" i="7"/>
  <c r="C5" i="7"/>
  <c r="F41" i="7"/>
  <c r="D43" i="7"/>
  <c r="I83" i="7"/>
  <c r="J84" i="7"/>
  <c r="F103" i="7"/>
  <c r="J103" i="7"/>
  <c r="H92" i="7"/>
  <c r="G93" i="7"/>
  <c r="F128" i="7"/>
  <c r="B128" i="7"/>
  <c r="H80" i="7"/>
  <c r="E128" i="7"/>
  <c r="F33" i="7"/>
  <c r="E32" i="7"/>
  <c r="J102" i="7"/>
  <c r="F67" i="7"/>
  <c r="D123" i="7"/>
  <c r="B117" i="7"/>
  <c r="D93" i="7"/>
  <c r="F91" i="7"/>
  <c r="L36" i="10"/>
  <c r="D33" i="10"/>
  <c r="D32" i="10"/>
  <c r="O30" i="10"/>
  <c r="P30" i="10" s="1"/>
  <c r="H30" i="10"/>
  <c r="I30" i="10" s="1"/>
  <c r="O29" i="10"/>
  <c r="P29" i="10" s="1"/>
  <c r="H29" i="10"/>
  <c r="I29" i="10" s="1"/>
  <c r="O28" i="10"/>
  <c r="P28" i="10" s="1"/>
  <c r="H28" i="10"/>
  <c r="I28" i="10" s="1"/>
  <c r="O27" i="10"/>
  <c r="P27" i="10" s="1"/>
  <c r="H27" i="10"/>
  <c r="I27" i="10" s="1"/>
  <c r="O26" i="10"/>
  <c r="P26" i="10" s="1"/>
  <c r="H26" i="10"/>
  <c r="I26" i="10" s="1"/>
  <c r="O25" i="10"/>
  <c r="P25" i="10" s="1"/>
  <c r="R25" i="10" s="1"/>
  <c r="H25" i="10"/>
  <c r="I25" i="10" s="1"/>
  <c r="O23" i="10"/>
  <c r="P23" i="10" s="1"/>
  <c r="H23" i="10"/>
  <c r="I23" i="10" s="1"/>
  <c r="O22" i="10"/>
  <c r="P22" i="10" s="1"/>
  <c r="I22" i="10"/>
  <c r="H22" i="10"/>
  <c r="P21" i="10"/>
  <c r="O21" i="10"/>
  <c r="H21" i="10"/>
  <c r="I21" i="10" s="1"/>
  <c r="O20" i="10"/>
  <c r="P20" i="10" s="1"/>
  <c r="H20" i="10"/>
  <c r="I20" i="10" s="1"/>
  <c r="O19" i="10"/>
  <c r="P19" i="10" s="1"/>
  <c r="I19" i="10"/>
  <c r="H19" i="10"/>
  <c r="P18" i="10"/>
  <c r="R18" i="10" s="1"/>
  <c r="O18" i="10"/>
  <c r="I18" i="10"/>
  <c r="H18" i="10"/>
  <c r="V15" i="10"/>
  <c r="U16" i="10" s="1"/>
  <c r="U15" i="10"/>
  <c r="C10" i="10"/>
  <c r="C9" i="10"/>
  <c r="C8" i="10"/>
  <c r="J25" i="9"/>
  <c r="C22" i="9"/>
  <c r="F20" i="9"/>
  <c r="G20" i="9" s="1"/>
  <c r="F19" i="9"/>
  <c r="G19" i="9" s="1"/>
  <c r="F18" i="9"/>
  <c r="G18" i="9" s="1"/>
  <c r="D18" i="9"/>
  <c r="H18" i="9" s="1"/>
  <c r="G17" i="9"/>
  <c r="F17" i="9"/>
  <c r="F16" i="9"/>
  <c r="G16" i="9" s="1"/>
  <c r="F15" i="9"/>
  <c r="G15" i="9" s="1"/>
  <c r="F22" i="9" l="1"/>
  <c r="B129" i="7"/>
  <c r="B104" i="7"/>
  <c r="J105" i="7"/>
  <c r="C107" i="7"/>
  <c r="H112" i="7"/>
  <c r="C122" i="7"/>
  <c r="D35" i="7"/>
  <c r="C34" i="7"/>
  <c r="G66" i="7"/>
  <c r="H55" i="7"/>
  <c r="C116" i="7"/>
  <c r="I130" i="7"/>
  <c r="G119" i="7"/>
  <c r="F127" i="7"/>
  <c r="B108" i="7"/>
  <c r="D112" i="7"/>
  <c r="H121" i="7"/>
  <c r="C103" i="7"/>
  <c r="D103" i="7"/>
  <c r="E41" i="7"/>
  <c r="F120" i="7"/>
  <c r="E130" i="7"/>
  <c r="G105" i="7"/>
  <c r="F74" i="7"/>
  <c r="D113" i="7"/>
  <c r="H85" i="7"/>
  <c r="D94" i="7"/>
  <c r="F64" i="7"/>
  <c r="D91" i="7"/>
  <c r="D54" i="7"/>
  <c r="G8" i="7"/>
  <c r="F60" i="7"/>
  <c r="C108" i="7"/>
  <c r="H123" i="7"/>
  <c r="I71" i="7"/>
  <c r="J121" i="7"/>
  <c r="H107" i="7"/>
  <c r="D84" i="7"/>
  <c r="B121" i="7"/>
  <c r="D131" i="7"/>
  <c r="C105" i="7"/>
  <c r="H72" i="7"/>
  <c r="I112" i="7"/>
  <c r="F83" i="7"/>
  <c r="I93" i="7"/>
  <c r="D63" i="7"/>
  <c r="F89" i="7"/>
  <c r="H53" i="7"/>
  <c r="H42" i="7"/>
  <c r="E84" i="7"/>
  <c r="C102" i="7"/>
  <c r="G112" i="7"/>
  <c r="C121" i="7"/>
  <c r="J125" i="7"/>
  <c r="F47" i="7"/>
  <c r="D92" i="7"/>
  <c r="J112" i="7"/>
  <c r="F126" i="7"/>
  <c r="G82" i="7"/>
  <c r="J120" i="7"/>
  <c r="I50" i="7"/>
  <c r="F98" i="7"/>
  <c r="C115" i="7"/>
  <c r="J124" i="7"/>
  <c r="G32" i="7"/>
  <c r="I115" i="7"/>
  <c r="H108" i="7"/>
  <c r="I99" i="7"/>
  <c r="G85" i="7"/>
  <c r="E54" i="7"/>
  <c r="H117" i="7"/>
  <c r="J107" i="7"/>
  <c r="H93" i="7"/>
  <c r="B64" i="7"/>
  <c r="D98" i="7"/>
  <c r="J88" i="7"/>
  <c r="J74" i="7"/>
  <c r="C50" i="7"/>
  <c r="G96" i="7"/>
  <c r="I76" i="7"/>
  <c r="C72" i="7"/>
  <c r="E81" i="7"/>
  <c r="B39" i="7"/>
  <c r="J65" i="7"/>
  <c r="J54" i="7"/>
  <c r="D77" i="7"/>
  <c r="E100" i="7"/>
  <c r="H111" i="7"/>
  <c r="B120" i="7"/>
  <c r="F125" i="7"/>
  <c r="E40" i="7"/>
  <c r="H88" i="7"/>
  <c r="C111" i="7"/>
  <c r="G125" i="7"/>
  <c r="F75" i="7"/>
  <c r="H119" i="7"/>
  <c r="J43" i="7"/>
  <c r="H96" i="7"/>
  <c r="D114" i="7"/>
  <c r="F124" i="7"/>
  <c r="G131" i="7"/>
  <c r="D116" i="7"/>
  <c r="C109" i="7"/>
  <c r="H100" i="7"/>
  <c r="F86" i="7"/>
  <c r="I56" i="7"/>
  <c r="C118" i="7"/>
  <c r="I108" i="7"/>
  <c r="G94" i="7"/>
  <c r="E66" i="7"/>
  <c r="C99" i="7"/>
  <c r="E89" i="7"/>
  <c r="I75" i="7"/>
  <c r="G52" i="7"/>
  <c r="B97" i="7"/>
  <c r="F79" i="7"/>
  <c r="G72" i="7"/>
  <c r="I81" i="7"/>
  <c r="I40" i="7"/>
  <c r="F123" i="7"/>
  <c r="E131" i="7"/>
  <c r="D110" i="7"/>
  <c r="H38" i="7"/>
  <c r="G47" i="7"/>
  <c r="G37" i="7"/>
  <c r="F46" i="7"/>
  <c r="C53" i="7"/>
  <c r="G57" i="7"/>
  <c r="F62" i="7"/>
  <c r="E67" i="7"/>
  <c r="F35" i="7"/>
  <c r="D45" i="7"/>
  <c r="F53" i="7"/>
  <c r="F59" i="7"/>
  <c r="C64" i="7"/>
  <c r="J68" i="7"/>
  <c r="J72" i="7"/>
  <c r="F76" i="7"/>
  <c r="B80" i="7"/>
  <c r="G83" i="7"/>
  <c r="E38" i="7"/>
  <c r="F45" i="7"/>
  <c r="J51" i="7"/>
  <c r="G56" i="7"/>
  <c r="E61" i="7"/>
  <c r="C66" i="7"/>
  <c r="I70" i="7"/>
  <c r="E74" i="7"/>
  <c r="J77" i="7"/>
  <c r="F81" i="7"/>
  <c r="C36" i="7"/>
  <c r="E50" i="7"/>
  <c r="J59" i="7"/>
  <c r="E69" i="7"/>
  <c r="E102" i="7"/>
  <c r="H37" i="7"/>
  <c r="I44" i="7"/>
  <c r="F51" i="7"/>
  <c r="C56" i="7"/>
  <c r="J60" i="7"/>
  <c r="H65" i="7"/>
  <c r="E70" i="7"/>
  <c r="B74" i="7"/>
  <c r="G77" i="7"/>
  <c r="C81" i="7"/>
  <c r="F84" i="7"/>
  <c r="D86" i="7"/>
  <c r="B88" i="7"/>
  <c r="I89" i="7"/>
  <c r="G91" i="7"/>
  <c r="E93" i="7"/>
  <c r="C95" i="7"/>
  <c r="J96" i="7"/>
  <c r="H98" i="7"/>
  <c r="F100" i="7"/>
  <c r="D102" i="7"/>
  <c r="I38" i="7"/>
  <c r="C52" i="7"/>
  <c r="H61" i="7"/>
  <c r="B71" i="7"/>
  <c r="C78" i="7"/>
  <c r="I84" i="7"/>
  <c r="E88" i="7"/>
  <c r="J91" i="7"/>
  <c r="F95" i="7"/>
  <c r="B99" i="7"/>
  <c r="G102" i="7"/>
  <c r="I104" i="7"/>
  <c r="G106" i="7"/>
  <c r="E108" i="7"/>
  <c r="C110" i="7"/>
  <c r="J111" i="7"/>
  <c r="H113" i="7"/>
  <c r="F115" i="7"/>
  <c r="D117" i="7"/>
  <c r="B119" i="7"/>
  <c r="B105" i="7"/>
  <c r="D34" i="7"/>
  <c r="G33" i="7"/>
  <c r="G49" i="7"/>
  <c r="D60" i="7"/>
  <c r="G69" i="7"/>
  <c r="H49" i="7"/>
  <c r="I61" i="7"/>
  <c r="C71" i="7"/>
  <c r="D78" i="7"/>
  <c r="I34" i="7"/>
  <c r="B49" i="7"/>
  <c r="B59" i="7"/>
  <c r="F68" i="7"/>
  <c r="C76" i="7"/>
  <c r="D83" i="7"/>
  <c r="C55" i="7"/>
  <c r="D73" i="7"/>
  <c r="J83" i="7"/>
  <c r="B89" i="7"/>
  <c r="G92" i="7"/>
  <c r="C96" i="7"/>
  <c r="I98" i="7"/>
  <c r="J101" i="7"/>
  <c r="F39" i="7"/>
  <c r="E48" i="7"/>
  <c r="B55" i="7"/>
  <c r="C62" i="7"/>
  <c r="B68" i="7"/>
  <c r="C73" i="7"/>
  <c r="F78" i="7"/>
  <c r="J82" i="7"/>
  <c r="I85" i="7"/>
  <c r="F88" i="7"/>
  <c r="H90" i="7"/>
  <c r="J92" i="7"/>
  <c r="G95" i="7"/>
  <c r="I97" i="7"/>
  <c r="B100" i="7"/>
  <c r="H102" i="7"/>
  <c r="J45" i="7"/>
  <c r="D59" i="7"/>
  <c r="I72" i="7"/>
  <c r="H81" i="7"/>
  <c r="F87" i="7"/>
  <c r="I92" i="7"/>
  <c r="D97" i="7"/>
  <c r="H101" i="7"/>
  <c r="D105" i="7"/>
  <c r="F107" i="7"/>
  <c r="H109" i="7"/>
  <c r="E112" i="7"/>
  <c r="G114" i="7"/>
  <c r="I116" i="7"/>
  <c r="F119" i="7"/>
  <c r="D121" i="7"/>
  <c r="G38" i="7"/>
  <c r="B52" i="7"/>
  <c r="F61" i="7"/>
  <c r="B78" i="7"/>
  <c r="H84" i="7"/>
  <c r="D88" i="7"/>
  <c r="I91" i="7"/>
  <c r="E95" i="7"/>
  <c r="F102" i="7"/>
  <c r="F106" i="7"/>
  <c r="B110" i="7"/>
  <c r="G113" i="7"/>
  <c r="H32" i="7"/>
  <c r="C32" i="7"/>
  <c r="C127" i="7"/>
  <c r="G123" i="7"/>
  <c r="D119" i="7"/>
  <c r="F112" i="7"/>
  <c r="J108" i="7"/>
  <c r="E105" i="7"/>
  <c r="D100" i="7"/>
  <c r="C93" i="7"/>
  <c r="G73" i="7"/>
  <c r="F32" i="7"/>
  <c r="B122" i="7"/>
  <c r="F109" i="7"/>
  <c r="B87" i="7"/>
  <c r="G40" i="7"/>
  <c r="G108" i="7"/>
  <c r="E33" i="7"/>
  <c r="D50" i="7"/>
  <c r="C49" i="7"/>
  <c r="E59" i="7"/>
  <c r="C69" i="7"/>
  <c r="I48" i="7"/>
  <c r="D61" i="7"/>
  <c r="H70" i="7"/>
  <c r="I77" i="7"/>
  <c r="J33" i="7"/>
  <c r="C48" i="7"/>
  <c r="E58" i="7"/>
  <c r="J67" i="7"/>
  <c r="H75" i="7"/>
  <c r="I82" i="7"/>
  <c r="J53" i="7"/>
  <c r="E72" i="7"/>
  <c r="E80" i="7"/>
  <c r="H87" i="7"/>
  <c r="H91" i="7"/>
  <c r="I94" i="7"/>
  <c r="E98" i="7"/>
  <c r="F101" i="7"/>
  <c r="J35" i="7"/>
  <c r="G46" i="7"/>
  <c r="I53" i="7"/>
  <c r="H59" i="7"/>
  <c r="I66" i="7"/>
  <c r="D72" i="7"/>
  <c r="H76" i="7"/>
  <c r="B82" i="7"/>
  <c r="E85" i="7"/>
  <c r="G87" i="7"/>
  <c r="D90" i="7"/>
  <c r="F92" i="7"/>
  <c r="H94" i="7"/>
  <c r="E97" i="7"/>
  <c r="G99" i="7"/>
  <c r="I101" i="7"/>
  <c r="E42" i="7"/>
  <c r="J56" i="7"/>
  <c r="I68" i="7"/>
  <c r="J79" i="7"/>
  <c r="G86" i="7"/>
  <c r="B91" i="7"/>
  <c r="E96" i="7"/>
  <c r="I100" i="7"/>
  <c r="E104" i="7"/>
  <c r="B107" i="7"/>
  <c r="D109" i="7"/>
  <c r="F111" i="7"/>
  <c r="C114" i="7"/>
  <c r="E116" i="7"/>
  <c r="G118" i="7"/>
  <c r="I120" i="7"/>
  <c r="B35" i="7"/>
  <c r="D49" i="7"/>
  <c r="C59" i="7"/>
  <c r="G68" i="7"/>
  <c r="D76" i="7"/>
  <c r="E83" i="7"/>
  <c r="E87" i="7"/>
  <c r="J90" i="7"/>
  <c r="F94" i="7"/>
  <c r="B98" i="7"/>
  <c r="G101" i="7"/>
  <c r="D104" i="7"/>
  <c r="B106" i="7"/>
  <c r="I107" i="7"/>
  <c r="G109" i="7"/>
  <c r="E111" i="7"/>
  <c r="C113" i="7"/>
  <c r="J114" i="7"/>
  <c r="H116" i="7"/>
  <c r="F118" i="7"/>
  <c r="F129" i="7"/>
  <c r="B32" i="7"/>
  <c r="C131" i="7"/>
  <c r="E129" i="7"/>
  <c r="G127" i="7"/>
  <c r="I125" i="7"/>
  <c r="B124" i="7"/>
  <c r="D122" i="7"/>
  <c r="I119" i="7"/>
  <c r="J116" i="7"/>
  <c r="E113" i="7"/>
  <c r="I109" i="7"/>
  <c r="D106" i="7"/>
  <c r="B102" i="7"/>
  <c r="J94" i="7"/>
  <c r="I87" i="7"/>
  <c r="C77" i="7"/>
  <c r="E60" i="7"/>
  <c r="I36" i="7"/>
  <c r="H129" i="7"/>
  <c r="G126" i="7"/>
  <c r="B123" i="7"/>
  <c r="E118" i="7"/>
  <c r="D111" i="7"/>
  <c r="C104" i="7"/>
  <c r="G90" i="7"/>
  <c r="J71" i="7"/>
  <c r="H47" i="7"/>
  <c r="I131" i="7"/>
  <c r="D128" i="7"/>
  <c r="H124" i="7"/>
  <c r="H120" i="7"/>
  <c r="H114" i="7"/>
  <c r="G107" i="7"/>
  <c r="E99" i="7"/>
  <c r="F90" i="7"/>
  <c r="E75" i="7"/>
  <c r="J57" i="7"/>
  <c r="D33" i="7"/>
  <c r="J129" i="7"/>
  <c r="E126" i="7"/>
  <c r="G124" i="7"/>
  <c r="I122" i="7"/>
  <c r="G120" i="7"/>
  <c r="J117" i="7"/>
  <c r="E114" i="7"/>
  <c r="I110" i="7"/>
  <c r="D107" i="7"/>
  <c r="H103" i="7"/>
  <c r="I96" i="7"/>
  <c r="H89" i="7"/>
  <c r="I80" i="7"/>
  <c r="D65" i="7"/>
  <c r="C44" i="7"/>
  <c r="J70" i="7"/>
  <c r="J98" i="7"/>
  <c r="H104" i="7"/>
  <c r="D108" i="7"/>
  <c r="I111" i="7"/>
  <c r="E115" i="7"/>
  <c r="C117" i="7"/>
  <c r="G128" i="7"/>
  <c r="H130" i="7"/>
  <c r="J128" i="7"/>
  <c r="E125" i="7"/>
  <c r="G121" i="7"/>
  <c r="B116" i="7"/>
  <c r="B86" i="7"/>
  <c r="G55" i="7"/>
  <c r="I128" i="7"/>
  <c r="H125" i="7"/>
  <c r="G116" i="7"/>
  <c r="D101" i="7"/>
  <c r="G67" i="7"/>
  <c r="J130" i="7"/>
  <c r="E127" i="7"/>
  <c r="B37" i="7"/>
  <c r="J69" i="7"/>
  <c r="C86" i="7"/>
  <c r="B95" i="7"/>
  <c r="G104" i="7"/>
  <c r="B109" i="7"/>
  <c r="F113" i="7"/>
  <c r="I118" i="7"/>
  <c r="I121" i="7"/>
  <c r="C124" i="7"/>
  <c r="D127" i="7"/>
  <c r="H131" i="7"/>
  <c r="D53" i="7"/>
  <c r="J78" i="7"/>
  <c r="B94" i="7"/>
  <c r="I105" i="7"/>
  <c r="F116" i="7"/>
  <c r="J122" i="7"/>
  <c r="E53" i="7"/>
  <c r="B113" i="7"/>
  <c r="J123" i="7"/>
  <c r="B65" i="7"/>
  <c r="G89" i="7"/>
  <c r="H110" i="7"/>
  <c r="I117" i="7"/>
  <c r="H122" i="7"/>
  <c r="I129" i="7"/>
  <c r="I126" i="7"/>
  <c r="F114" i="7"/>
  <c r="J110" i="7"/>
  <c r="I103" i="7"/>
  <c r="C97" i="7"/>
  <c r="G81" i="7"/>
  <c r="D66" i="7"/>
  <c r="H45" i="7"/>
  <c r="J115" i="7"/>
  <c r="B111" i="7"/>
  <c r="C106" i="7"/>
  <c r="C90" i="7"/>
  <c r="E76" i="7"/>
  <c r="E101" i="7"/>
  <c r="F96" i="7"/>
  <c r="C87" i="7"/>
  <c r="D80" i="7"/>
  <c r="G58" i="7"/>
  <c r="B43" i="7"/>
  <c r="E94" i="7"/>
  <c r="J85" i="7"/>
  <c r="H79" i="7"/>
  <c r="J41" i="7"/>
  <c r="F42" i="7"/>
  <c r="B51" i="7"/>
  <c r="H73" i="7"/>
  <c r="J87" i="7"/>
  <c r="G98" i="7"/>
  <c r="F105" i="7"/>
  <c r="J109" i="7"/>
  <c r="D115" i="7"/>
  <c r="E119" i="7"/>
  <c r="E122" i="7"/>
  <c r="B125" i="7"/>
  <c r="C128" i="7"/>
  <c r="D32" i="7"/>
  <c r="H62" i="7"/>
  <c r="F82" i="7"/>
  <c r="I95" i="7"/>
  <c r="E109" i="7"/>
  <c r="D118" i="7"/>
  <c r="I123" i="7"/>
  <c r="B130" i="7"/>
  <c r="C58" i="7"/>
  <c r="H97" i="7"/>
  <c r="I114" i="7"/>
  <c r="I124" i="7"/>
  <c r="F131" i="7"/>
  <c r="I69" i="7"/>
  <c r="E91" i="7"/>
  <c r="F104" i="7"/>
  <c r="G111" i="7"/>
  <c r="H118" i="7"/>
  <c r="C123" i="7"/>
  <c r="H126" i="7"/>
  <c r="D130" i="7"/>
  <c r="H127" i="7"/>
  <c r="G117" i="7"/>
  <c r="B114" i="7"/>
  <c r="F110" i="7"/>
  <c r="J106" i="7"/>
  <c r="E103" i="7"/>
  <c r="D96" i="7"/>
  <c r="C89" i="7"/>
  <c r="I79" i="7"/>
  <c r="J63" i="7"/>
  <c r="C42" i="7"/>
  <c r="J119" i="7"/>
  <c r="B115" i="7"/>
  <c r="G110" i="7"/>
  <c r="H105" i="7"/>
  <c r="C98" i="7"/>
  <c r="D89" i="7"/>
  <c r="G74" i="7"/>
  <c r="F49" i="7"/>
  <c r="J100" i="7"/>
  <c r="B96" i="7"/>
  <c r="C91" i="7"/>
  <c r="H86" i="7"/>
  <c r="E79" i="7"/>
  <c r="D69" i="7"/>
  <c r="E57" i="7"/>
  <c r="D41" i="7"/>
  <c r="H99" i="7"/>
  <c r="F93" i="7"/>
  <c r="F85" i="7"/>
  <c r="F63" i="7"/>
  <c r="D79" i="7"/>
  <c r="C63" i="7"/>
  <c r="B41" i="7"/>
  <c r="D74" i="7"/>
  <c r="J55" i="7"/>
  <c r="D64" i="7"/>
  <c r="H40" i="7"/>
  <c r="C125" i="7"/>
  <c r="C129" i="7"/>
  <c r="C94" i="7"/>
  <c r="G130" i="7"/>
  <c r="G103" i="7"/>
  <c r="D126" i="7"/>
  <c r="B118" i="7"/>
  <c r="E107" i="7"/>
  <c r="B90" i="7"/>
  <c r="E120" i="7"/>
  <c r="J99" i="7"/>
  <c r="G54" i="7"/>
  <c r="B92" i="7"/>
  <c r="E71" i="7"/>
  <c r="G100" i="7"/>
  <c r="G64" i="7"/>
  <c r="H63" i="7"/>
  <c r="H74" i="7"/>
  <c r="F56" i="7"/>
  <c r="H64" i="7"/>
  <c r="F122" i="7"/>
  <c r="C126" i="7"/>
  <c r="C100" i="7"/>
  <c r="J97" i="7"/>
  <c r="D95" i="7"/>
  <c r="B93" i="7"/>
  <c r="I90" i="7"/>
  <c r="D87" i="7"/>
  <c r="B83" i="7"/>
  <c r="J75" i="7"/>
  <c r="C68" i="7"/>
  <c r="H58" i="7"/>
  <c r="G48" i="7"/>
  <c r="E34" i="7"/>
  <c r="B81" i="7"/>
  <c r="F77" i="7"/>
  <c r="J73" i="7"/>
  <c r="D70" i="7"/>
  <c r="F65" i="7"/>
  <c r="I60" i="7"/>
  <c r="B56" i="7"/>
  <c r="D51" i="7"/>
  <c r="G44" i="7"/>
  <c r="F37" i="7"/>
  <c r="C83" i="7"/>
  <c r="G79" i="7"/>
  <c r="B76" i="7"/>
  <c r="F72" i="7"/>
  <c r="E68" i="7"/>
  <c r="G63" i="7"/>
  <c r="I58" i="7"/>
  <c r="E52" i="7"/>
  <c r="E44" i="7"/>
  <c r="G34" i="7"/>
  <c r="F66" i="7"/>
  <c r="B62" i="7"/>
  <c r="C57" i="7"/>
  <c r="D52" i="7"/>
  <c r="C45" i="7"/>
  <c r="C37" i="7"/>
  <c r="I45" i="7"/>
  <c r="I37" i="7"/>
  <c r="I113" i="7"/>
  <c r="D85" i="7"/>
  <c r="B131" i="7"/>
  <c r="H115" i="7"/>
  <c r="I88" i="7"/>
  <c r="I127" i="7"/>
  <c r="G115" i="7"/>
  <c r="G97" i="7"/>
  <c r="B36" i="7"/>
  <c r="J40" i="7"/>
  <c r="J44" i="7"/>
  <c r="F48" i="7"/>
  <c r="I35" i="7"/>
  <c r="I39" i="7"/>
  <c r="D44" i="7"/>
  <c r="H48" i="7"/>
  <c r="E51" i="7"/>
  <c r="B54" i="7"/>
  <c r="H56" i="7"/>
  <c r="J58" i="7"/>
  <c r="C61" i="7"/>
  <c r="I63" i="7"/>
  <c r="B66" i="7"/>
  <c r="D68" i="7"/>
  <c r="H33" i="7"/>
  <c r="C38" i="7"/>
  <c r="G42" i="7"/>
  <c r="J47" i="7"/>
  <c r="H51" i="7"/>
  <c r="H54" i="7"/>
  <c r="D58" i="7"/>
  <c r="G60" i="7"/>
  <c r="B63" i="7"/>
  <c r="E65" i="7"/>
  <c r="H67" i="7"/>
  <c r="C70" i="7"/>
  <c r="B72" i="7"/>
  <c r="I73" i="7"/>
  <c r="G75" i="7"/>
  <c r="E77" i="7"/>
  <c r="C79" i="7"/>
  <c r="J80" i="7"/>
  <c r="H82" i="7"/>
  <c r="B33" i="7"/>
  <c r="G36" i="7"/>
  <c r="C40" i="7"/>
  <c r="H43" i="7"/>
  <c r="D47" i="7"/>
  <c r="H50" i="7"/>
  <c r="B53" i="7"/>
  <c r="F55" i="7"/>
  <c r="I57" i="7"/>
  <c r="C60" i="7"/>
  <c r="G62" i="7"/>
  <c r="J64" i="7"/>
  <c r="D67" i="7"/>
  <c r="H69" i="7"/>
  <c r="H71" i="7"/>
  <c r="F73" i="7"/>
  <c r="D75" i="7"/>
  <c r="B77" i="7"/>
  <c r="I78" i="7"/>
  <c r="G80" i="7"/>
  <c r="E82" i="7"/>
  <c r="C84" i="7"/>
  <c r="H39" i="7"/>
  <c r="I46" i="7"/>
  <c r="I52" i="7"/>
  <c r="F57" i="7"/>
  <c r="D62" i="7"/>
  <c r="B67" i="7"/>
  <c r="F71" i="7"/>
  <c r="B75" i="7"/>
  <c r="G78" i="7"/>
  <c r="C82" i="7"/>
  <c r="B85" i="7"/>
  <c r="I86" i="7"/>
  <c r="G88" i="7"/>
  <c r="E90" i="7"/>
  <c r="C92" i="7"/>
  <c r="J93" i="7"/>
  <c r="H95" i="7"/>
  <c r="F97" i="7"/>
  <c r="D99" i="7"/>
  <c r="B101" i="7"/>
  <c r="I102" i="7"/>
  <c r="J32" i="7"/>
  <c r="F121" i="7"/>
  <c r="E92" i="7"/>
  <c r="G129" i="7"/>
  <c r="E121" i="7"/>
  <c r="C101" i="7"/>
  <c r="G35" i="7"/>
  <c r="C39" i="7"/>
  <c r="B44" i="7"/>
  <c r="B48" i="7"/>
  <c r="F34" i="7"/>
  <c r="E39" i="7"/>
  <c r="J42" i="7"/>
  <c r="J46" i="7"/>
  <c r="J50" i="7"/>
  <c r="G53" i="7"/>
  <c r="I55" i="7"/>
  <c r="F58" i="7"/>
  <c r="H60" i="7"/>
  <c r="J62" i="7"/>
  <c r="G65" i="7"/>
  <c r="I67" i="7"/>
  <c r="B70" i="7"/>
  <c r="D37" i="7"/>
  <c r="H41" i="7"/>
  <c r="C46" i="7"/>
  <c r="C51" i="7"/>
  <c r="C54" i="7"/>
  <c r="B57" i="7"/>
  <c r="B60" i="7"/>
  <c r="E62" i="7"/>
  <c r="I64" i="7"/>
  <c r="C67" i="7"/>
  <c r="F69" i="7"/>
  <c r="G71" i="7"/>
  <c r="E73" i="7"/>
  <c r="C75" i="7"/>
  <c r="J76" i="7"/>
  <c r="H78" i="7"/>
  <c r="F80" i="7"/>
  <c r="D82" i="7"/>
  <c r="B84" i="7"/>
  <c r="H35" i="7"/>
  <c r="D39" i="7"/>
  <c r="I42" i="7"/>
  <c r="E46" i="7"/>
  <c r="J49" i="7"/>
  <c r="F52" i="7"/>
  <c r="I54" i="7"/>
  <c r="D57" i="7"/>
  <c r="G59" i="7"/>
  <c r="J61" i="7"/>
  <c r="E64" i="7"/>
  <c r="H66" i="7"/>
  <c r="B69" i="7"/>
  <c r="D71" i="7"/>
  <c r="B73" i="7"/>
  <c r="I74" i="7"/>
  <c r="G76" i="7"/>
  <c r="E78" i="7"/>
  <c r="C80" i="7"/>
  <c r="J81" i="7"/>
  <c r="H83" i="7"/>
  <c r="J37" i="7"/>
  <c r="B45" i="7"/>
  <c r="G51" i="7"/>
  <c r="E56" i="7"/>
  <c r="B61" i="7"/>
  <c r="I65" i="7"/>
  <c r="G70" i="7"/>
  <c r="C74" i="7"/>
  <c r="H77" i="7"/>
  <c r="D81" i="7"/>
  <c r="G84" i="7"/>
  <c r="E86" i="7"/>
  <c r="C88" i="7"/>
  <c r="J89" i="7"/>
  <c r="C130" i="7"/>
  <c r="H57" i="7"/>
  <c r="D55" i="7"/>
  <c r="J52" i="7"/>
  <c r="G50" i="7"/>
  <c r="B47" i="7"/>
  <c r="F43" i="7"/>
  <c r="J39" i="7"/>
  <c r="E36" i="7"/>
  <c r="F70" i="7"/>
  <c r="H68" i="7"/>
  <c r="J66" i="7"/>
  <c r="C65" i="7"/>
  <c r="E63" i="7"/>
  <c r="G61" i="7"/>
  <c r="I59" i="7"/>
  <c r="B58" i="7"/>
  <c r="D56" i="7"/>
  <c r="F54" i="7"/>
  <c r="H52" i="7"/>
  <c r="F50" i="7"/>
  <c r="I47" i="7"/>
  <c r="H44" i="7"/>
  <c r="G41" i="7"/>
  <c r="B38" i="7"/>
  <c r="E35" i="7"/>
  <c r="I49" i="7"/>
  <c r="D46" i="7"/>
  <c r="C43" i="7"/>
  <c r="F40" i="7"/>
  <c r="J36" i="7"/>
  <c r="I33" i="7"/>
  <c r="H106" i="7"/>
  <c r="C120" i="7"/>
  <c r="B126" i="7"/>
  <c r="I32" i="7"/>
  <c r="B103" i="7"/>
  <c r="F117" i="7"/>
  <c r="B127" i="7"/>
  <c r="C112" i="7"/>
  <c r="G122" i="7"/>
  <c r="D129" i="7"/>
  <c r="I51" i="7"/>
  <c r="B50" i="7"/>
  <c r="D48" i="7"/>
  <c r="B46" i="7"/>
  <c r="E43" i="7"/>
  <c r="C41" i="7"/>
  <c r="J38" i="7"/>
  <c r="D36" i="7"/>
  <c r="B34" i="7"/>
  <c r="E49" i="7"/>
  <c r="H46" i="7"/>
  <c r="F44" i="7"/>
  <c r="D42" i="7"/>
  <c r="G39" i="7"/>
  <c r="E37" i="7"/>
  <c r="C35" i="7"/>
  <c r="J86" i="7"/>
  <c r="F108" i="7"/>
  <c r="E117" i="7"/>
  <c r="D124" i="7"/>
  <c r="H128" i="7"/>
  <c r="I62" i="7"/>
  <c r="F99" i="7"/>
  <c r="E110" i="7"/>
  <c r="C119" i="7"/>
  <c r="D125" i="7"/>
  <c r="C85" i="7"/>
  <c r="G6" i="7"/>
  <c r="E47" i="7"/>
  <c r="G45" i="7"/>
  <c r="I43" i="7"/>
  <c r="B42" i="7"/>
  <c r="D40" i="7"/>
  <c r="F38" i="7"/>
  <c r="H36" i="7"/>
  <c r="J34" i="7"/>
  <c r="C33" i="7"/>
  <c r="J48" i="7"/>
  <c r="C47" i="7"/>
  <c r="E45" i="7"/>
  <c r="G43" i="7"/>
  <c r="I41" i="7"/>
  <c r="B40" i="7"/>
  <c r="D38" i="7"/>
  <c r="F36" i="7"/>
  <c r="H34" i="7"/>
  <c r="J104" i="7"/>
  <c r="B112" i="7"/>
  <c r="J118" i="7"/>
  <c r="E123" i="7"/>
  <c r="J126" i="7"/>
  <c r="F130" i="7"/>
  <c r="B79" i="7"/>
  <c r="J95" i="7"/>
  <c r="I106" i="7"/>
  <c r="J113" i="7"/>
  <c r="D120" i="7"/>
  <c r="E124" i="7"/>
  <c r="J127" i="7"/>
  <c r="J131" i="7"/>
  <c r="Q18" i="10"/>
  <c r="R19" i="10" s="1"/>
  <c r="D19" i="9"/>
  <c r="D15" i="9"/>
  <c r="D17" i="9"/>
  <c r="E18" i="9" s="1"/>
  <c r="K8" i="9"/>
  <c r="D16" i="9"/>
  <c r="D20" i="9"/>
  <c r="E22" i="10"/>
  <c r="F22" i="10" s="1"/>
  <c r="E19" i="10"/>
  <c r="F19" i="10" s="1"/>
  <c r="E18" i="10"/>
  <c r="F18" i="10" s="1"/>
  <c r="I9" i="10"/>
  <c r="I10" i="10" s="1"/>
  <c r="E30" i="10"/>
  <c r="F30" i="10" s="1"/>
  <c r="E29" i="10"/>
  <c r="F29" i="10" s="1"/>
  <c r="E28" i="10"/>
  <c r="F28" i="10" s="1"/>
  <c r="E27" i="10"/>
  <c r="F27" i="10" s="1"/>
  <c r="E26" i="10"/>
  <c r="F26" i="10" s="1"/>
  <c r="E25" i="10"/>
  <c r="F25" i="10" s="1"/>
  <c r="E23" i="10"/>
  <c r="F23" i="10" s="1"/>
  <c r="E21" i="10"/>
  <c r="F21" i="10" s="1"/>
  <c r="E20" i="10"/>
  <c r="F20" i="10" s="1"/>
  <c r="Q25" i="10"/>
  <c r="R26" i="10" s="1"/>
  <c r="I18" i="9" l="1"/>
  <c r="J18" i="9" s="1"/>
  <c r="L79" i="7"/>
  <c r="L127" i="7"/>
  <c r="L46" i="7"/>
  <c r="L69" i="7"/>
  <c r="L115" i="7"/>
  <c r="L128" i="7"/>
  <c r="L34" i="7"/>
  <c r="L126" i="7"/>
  <c r="L41" i="7"/>
  <c r="L125" i="7"/>
  <c r="L111" i="7"/>
  <c r="L117" i="7"/>
  <c r="L35" i="7"/>
  <c r="L122" i="7"/>
  <c r="L61" i="7"/>
  <c r="L53" i="7"/>
  <c r="L54" i="7"/>
  <c r="L62" i="7"/>
  <c r="L37" i="7"/>
  <c r="L106" i="7"/>
  <c r="L68" i="7"/>
  <c r="L59" i="7"/>
  <c r="L105" i="7"/>
  <c r="L120" i="7"/>
  <c r="L129" i="7"/>
  <c r="L112" i="7"/>
  <c r="L42" i="7"/>
  <c r="L47" i="7"/>
  <c r="L70" i="7"/>
  <c r="L101" i="7"/>
  <c r="L75" i="7"/>
  <c r="L77" i="7"/>
  <c r="L72" i="7"/>
  <c r="L63" i="7"/>
  <c r="L36" i="7"/>
  <c r="L76" i="7"/>
  <c r="L81" i="7"/>
  <c r="L118" i="7"/>
  <c r="L96" i="7"/>
  <c r="L51" i="7"/>
  <c r="L113" i="7"/>
  <c r="L95" i="7"/>
  <c r="L86" i="7"/>
  <c r="L50" i="7"/>
  <c r="L45" i="7"/>
  <c r="L73" i="7"/>
  <c r="L57" i="7"/>
  <c r="L44" i="7"/>
  <c r="L67" i="7"/>
  <c r="L66" i="7"/>
  <c r="L131" i="7"/>
  <c r="L56" i="7"/>
  <c r="L83" i="7"/>
  <c r="L92" i="7"/>
  <c r="L90" i="7"/>
  <c r="L114" i="7"/>
  <c r="L130" i="7"/>
  <c r="L43" i="7"/>
  <c r="L65" i="7"/>
  <c r="L109" i="7"/>
  <c r="L123" i="7"/>
  <c r="L102" i="7"/>
  <c r="L98" i="7"/>
  <c r="L107" i="7"/>
  <c r="L91" i="7"/>
  <c r="L52" i="7"/>
  <c r="L99" i="7"/>
  <c r="L64" i="7"/>
  <c r="L104" i="7"/>
  <c r="L82" i="7"/>
  <c r="L78" i="7"/>
  <c r="L89" i="7"/>
  <c r="L49" i="7"/>
  <c r="L119" i="7"/>
  <c r="L71" i="7"/>
  <c r="L88" i="7"/>
  <c r="L40" i="7"/>
  <c r="L103" i="7"/>
  <c r="L38" i="7"/>
  <c r="L58" i="7"/>
  <c r="L84" i="7"/>
  <c r="L60" i="7"/>
  <c r="L48" i="7"/>
  <c r="L85" i="7"/>
  <c r="L33" i="7"/>
  <c r="L93" i="7"/>
  <c r="L94" i="7"/>
  <c r="L116" i="7"/>
  <c r="L124" i="7"/>
  <c r="L87" i="7"/>
  <c r="L110" i="7"/>
  <c r="L100" i="7"/>
  <c r="L55" i="7"/>
  <c r="L74" i="7"/>
  <c r="L80" i="7"/>
  <c r="L97" i="7"/>
  <c r="L39" i="7"/>
  <c r="L121" i="7"/>
  <c r="L108" i="7"/>
  <c r="L32" i="7"/>
  <c r="K96" i="7"/>
  <c r="K81" i="7"/>
  <c r="K115" i="7"/>
  <c r="K82" i="7"/>
  <c r="K79" i="7"/>
  <c r="K118" i="7"/>
  <c r="K60" i="7"/>
  <c r="K97" i="7"/>
  <c r="K113" i="7"/>
  <c r="K91" i="7"/>
  <c r="K111" i="7"/>
  <c r="K94" i="7"/>
  <c r="K76" i="7"/>
  <c r="K100" i="7"/>
  <c r="K119" i="7"/>
  <c r="K55" i="7"/>
  <c r="K131" i="7"/>
  <c r="K59" i="7"/>
  <c r="K122" i="7"/>
  <c r="K68" i="7"/>
  <c r="K75" i="7"/>
  <c r="K89" i="7"/>
  <c r="K80" i="7"/>
  <c r="K121" i="7"/>
  <c r="K83" i="7"/>
  <c r="K114" i="7"/>
  <c r="K72" i="7"/>
  <c r="K117" i="7"/>
  <c r="K63" i="7"/>
  <c r="K88" i="7"/>
  <c r="K61" i="7"/>
  <c r="K73" i="7"/>
  <c r="K102" i="7"/>
  <c r="K54" i="7"/>
  <c r="K101" i="7"/>
  <c r="K98" i="7"/>
  <c r="K67" i="7"/>
  <c r="K125" i="7"/>
  <c r="K108" i="7"/>
  <c r="K86" i="7"/>
  <c r="K87" i="7"/>
  <c r="K123" i="7"/>
  <c r="K116" i="7"/>
  <c r="K128" i="7"/>
  <c r="K84" i="7"/>
  <c r="K105" i="7"/>
  <c r="K90" i="7"/>
  <c r="K107" i="7"/>
  <c r="K109" i="7"/>
  <c r="K56" i="7"/>
  <c r="K78" i="7"/>
  <c r="K52" i="7"/>
  <c r="K64" i="7"/>
  <c r="K65" i="7"/>
  <c r="K53" i="7"/>
  <c r="K103" i="7"/>
  <c r="K74" i="7"/>
  <c r="K69" i="7"/>
  <c r="K51" i="7"/>
  <c r="K93" i="7"/>
  <c r="K124" i="7"/>
  <c r="K35" i="7"/>
  <c r="K77" i="7"/>
  <c r="K71" i="7"/>
  <c r="K37" i="7"/>
  <c r="K129" i="7"/>
  <c r="K126" i="7"/>
  <c r="K44" i="7"/>
  <c r="K92" i="7"/>
  <c r="K39" i="7"/>
  <c r="K49" i="7"/>
  <c r="K32" i="7"/>
  <c r="K66" i="7"/>
  <c r="K57" i="7"/>
  <c r="K85" i="7"/>
  <c r="K127" i="7"/>
  <c r="K58" i="7"/>
  <c r="K106" i="7"/>
  <c r="K70" i="7"/>
  <c r="K104" i="7"/>
  <c r="K120" i="7"/>
  <c r="K43" i="7"/>
  <c r="K99" i="7"/>
  <c r="K62" i="7"/>
  <c r="K130" i="7"/>
  <c r="K112" i="7"/>
  <c r="K50" i="7"/>
  <c r="K110" i="7"/>
  <c r="K46" i="7"/>
  <c r="K36" i="7"/>
  <c r="K41" i="7"/>
  <c r="K38" i="7"/>
  <c r="K95" i="7"/>
  <c r="K33" i="7"/>
  <c r="K48" i="7"/>
  <c r="K45" i="7"/>
  <c r="K42" i="7"/>
  <c r="K34" i="7"/>
  <c r="K40" i="7"/>
  <c r="K47" i="7"/>
  <c r="K23" i="10"/>
  <c r="L23" i="10" s="1"/>
  <c r="G23" i="10"/>
  <c r="F32" i="10"/>
  <c r="J23" i="10"/>
  <c r="K28" i="10"/>
  <c r="L28" i="10" s="1"/>
  <c r="G28" i="10"/>
  <c r="J28" i="10"/>
  <c r="K18" i="10"/>
  <c r="L18" i="10" s="1"/>
  <c r="G18" i="10"/>
  <c r="J18" i="10"/>
  <c r="K20" i="10"/>
  <c r="L20" i="10" s="1"/>
  <c r="G20" i="10"/>
  <c r="J20" i="10"/>
  <c r="K26" i="10"/>
  <c r="L26" i="10" s="1"/>
  <c r="G26" i="10"/>
  <c r="J26" i="10"/>
  <c r="F33" i="10"/>
  <c r="K30" i="10"/>
  <c r="L30" i="10" s="1"/>
  <c r="G30" i="10"/>
  <c r="J30" i="10"/>
  <c r="G22" i="10"/>
  <c r="J22" i="10"/>
  <c r="I20" i="9"/>
  <c r="J20" i="9" s="1"/>
  <c r="E20" i="9"/>
  <c r="D22" i="9"/>
  <c r="H20" i="9"/>
  <c r="H15" i="9"/>
  <c r="E15" i="9"/>
  <c r="Q19" i="10"/>
  <c r="R20" i="10" s="1"/>
  <c r="Q20" i="10" s="1"/>
  <c r="R21" i="10" s="1"/>
  <c r="G21" i="10"/>
  <c r="J21" i="10"/>
  <c r="K27" i="10"/>
  <c r="L27" i="10" s="1"/>
  <c r="G27" i="10"/>
  <c r="J27" i="10"/>
  <c r="E16" i="9"/>
  <c r="H16" i="9"/>
  <c r="H19" i="9"/>
  <c r="E19" i="9"/>
  <c r="I19" i="9"/>
  <c r="J19" i="9" s="1"/>
  <c r="Q26" i="10"/>
  <c r="R27" i="10" s="1"/>
  <c r="K25" i="10"/>
  <c r="L25" i="10" s="1"/>
  <c r="G25" i="10"/>
  <c r="J25" i="10"/>
  <c r="K29" i="10"/>
  <c r="L29" i="10" s="1"/>
  <c r="G29" i="10"/>
  <c r="J29" i="10"/>
  <c r="G19" i="10"/>
  <c r="J19" i="10"/>
  <c r="H17" i="9"/>
  <c r="I17" i="9"/>
  <c r="J17" i="9" s="1"/>
  <c r="E17" i="9"/>
  <c r="N41" i="7" l="1"/>
  <c r="M34" i="7"/>
  <c r="M33" i="7"/>
  <c r="M36" i="7"/>
  <c r="M130" i="7"/>
  <c r="N47" i="7"/>
  <c r="N112" i="7"/>
  <c r="M104" i="7"/>
  <c r="M127" i="7"/>
  <c r="N62" i="7"/>
  <c r="M129" i="7"/>
  <c r="M124" i="7"/>
  <c r="N58" i="7"/>
  <c r="N77" i="7"/>
  <c r="M109" i="7"/>
  <c r="M128" i="7"/>
  <c r="M87" i="7"/>
  <c r="M98" i="7"/>
  <c r="M102" i="7"/>
  <c r="M88" i="7"/>
  <c r="N84" i="7"/>
  <c r="N97" i="7"/>
  <c r="M114" i="7"/>
  <c r="M83" i="7"/>
  <c r="N64" i="7"/>
  <c r="N85" i="7"/>
  <c r="N101" i="7"/>
  <c r="N37" i="7"/>
  <c r="M100" i="7"/>
  <c r="M111" i="7"/>
  <c r="N88" i="7"/>
  <c r="N35" i="7"/>
  <c r="M60" i="7"/>
  <c r="M79" i="7"/>
  <c r="M115" i="7"/>
  <c r="M47" i="7"/>
  <c r="N42" i="7"/>
  <c r="N79" i="7"/>
  <c r="N120" i="7"/>
  <c r="N45" i="7"/>
  <c r="N125" i="7"/>
  <c r="M50" i="7"/>
  <c r="N49" i="7"/>
  <c r="N48" i="7"/>
  <c r="N40" i="7"/>
  <c r="N122" i="7"/>
  <c r="N127" i="7"/>
  <c r="M70" i="7"/>
  <c r="N86" i="7"/>
  <c r="M85" i="7"/>
  <c r="N50" i="7"/>
  <c r="M92" i="7"/>
  <c r="N73" i="7"/>
  <c r="N102" i="7"/>
  <c r="M77" i="7"/>
  <c r="N60" i="7"/>
  <c r="N59" i="7"/>
  <c r="M103" i="7"/>
  <c r="M64" i="7"/>
  <c r="N57" i="7"/>
  <c r="M107" i="7"/>
  <c r="M90" i="7"/>
  <c r="N119" i="7"/>
  <c r="N95" i="7"/>
  <c r="M86" i="7"/>
  <c r="N104" i="7"/>
  <c r="M101" i="7"/>
  <c r="M73" i="7"/>
  <c r="M63" i="7"/>
  <c r="N96" i="7"/>
  <c r="N91" i="7"/>
  <c r="N105" i="7"/>
  <c r="N67" i="7"/>
  <c r="M80" i="7"/>
  <c r="N113" i="7"/>
  <c r="M122" i="7"/>
  <c r="M131" i="7"/>
  <c r="N114" i="7"/>
  <c r="M91" i="7"/>
  <c r="N55" i="7"/>
  <c r="N82" i="7"/>
  <c r="N76" i="7"/>
  <c r="N100" i="7"/>
  <c r="M81" i="7"/>
  <c r="M40" i="7"/>
  <c r="M42" i="7"/>
  <c r="M45" i="7"/>
  <c r="N123" i="7"/>
  <c r="M38" i="7"/>
  <c r="M46" i="7"/>
  <c r="M112" i="7"/>
  <c r="M62" i="7"/>
  <c r="N129" i="7"/>
  <c r="M43" i="7"/>
  <c r="N66" i="7"/>
  <c r="N117" i="7"/>
  <c r="N56" i="7"/>
  <c r="M58" i="7"/>
  <c r="M57" i="7"/>
  <c r="M49" i="7"/>
  <c r="N69" i="7"/>
  <c r="M126" i="7"/>
  <c r="M37" i="7"/>
  <c r="N52" i="7"/>
  <c r="M93" i="7"/>
  <c r="M69" i="7"/>
  <c r="N126" i="7"/>
  <c r="M52" i="7"/>
  <c r="N70" i="7"/>
  <c r="N89" i="7"/>
  <c r="M105" i="7"/>
  <c r="N121" i="7"/>
  <c r="N124" i="7"/>
  <c r="N83" i="7"/>
  <c r="M67" i="7"/>
  <c r="M54" i="7"/>
  <c r="N80" i="7"/>
  <c r="M117" i="7"/>
  <c r="N93" i="7"/>
  <c r="N107" i="7"/>
  <c r="N109" i="7"/>
  <c r="N74" i="7"/>
  <c r="M121" i="7"/>
  <c r="M89" i="7"/>
  <c r="N81" i="7"/>
  <c r="N78" i="7"/>
  <c r="M55" i="7"/>
  <c r="M76" i="7"/>
  <c r="N87" i="7"/>
  <c r="N68" i="7"/>
  <c r="M113" i="7"/>
  <c r="N33" i="7"/>
  <c r="N94" i="7"/>
  <c r="N72" i="7"/>
  <c r="N43" i="7"/>
  <c r="M95" i="7"/>
  <c r="M110" i="7"/>
  <c r="N108" i="7"/>
  <c r="M120" i="7"/>
  <c r="N51" i="7"/>
  <c r="M44" i="7"/>
  <c r="N61" i="7"/>
  <c r="M51" i="7"/>
  <c r="M65" i="7"/>
  <c r="N131" i="7"/>
  <c r="M123" i="7"/>
  <c r="M125" i="7"/>
  <c r="N98" i="7"/>
  <c r="N34" i="7"/>
  <c r="N38" i="7"/>
  <c r="M48" i="7"/>
  <c r="N118" i="7"/>
  <c r="M41" i="7"/>
  <c r="N110" i="7"/>
  <c r="N128" i="7"/>
  <c r="N39" i="7"/>
  <c r="M99" i="7"/>
  <c r="N36" i="7"/>
  <c r="N46" i="7"/>
  <c r="N103" i="7"/>
  <c r="M106" i="7"/>
  <c r="N106" i="7"/>
  <c r="M66" i="7"/>
  <c r="M39" i="7"/>
  <c r="N54" i="7"/>
  <c r="N65" i="7"/>
  <c r="M71" i="7"/>
  <c r="M35" i="7"/>
  <c r="N92" i="7"/>
  <c r="M74" i="7"/>
  <c r="M53" i="7"/>
  <c r="M78" i="7"/>
  <c r="M56" i="7"/>
  <c r="N130" i="7"/>
  <c r="M84" i="7"/>
  <c r="M116" i="7"/>
  <c r="N111" i="7"/>
  <c r="M108" i="7"/>
  <c r="N63" i="7"/>
  <c r="N53" i="7"/>
  <c r="M61" i="7"/>
  <c r="N99" i="7"/>
  <c r="M72" i="7"/>
  <c r="N116" i="7"/>
  <c r="N115" i="7"/>
  <c r="N90" i="7"/>
  <c r="N75" i="7"/>
  <c r="M75" i="7"/>
  <c r="M68" i="7"/>
  <c r="M59" i="7"/>
  <c r="M119" i="7"/>
  <c r="M94" i="7"/>
  <c r="N71" i="7"/>
  <c r="N44" i="7"/>
  <c r="M97" i="7"/>
  <c r="M118" i="7"/>
  <c r="M82" i="7"/>
  <c r="M96" i="7"/>
  <c r="N32" i="7"/>
  <c r="M32" i="7"/>
  <c r="Q21" i="10"/>
  <c r="R22" i="10" s="1"/>
  <c r="Q22" i="10" s="1"/>
  <c r="R23" i="10" s="1"/>
  <c r="Q23" i="10" s="1"/>
  <c r="Q27" i="10"/>
  <c r="R28" i="10" s="1"/>
  <c r="Q28" i="10" s="1"/>
  <c r="R29" i="10" s="1"/>
  <c r="Q29" i="10" s="1"/>
  <c r="R30" i="10" s="1"/>
  <c r="Q30" i="10" s="1"/>
  <c r="I22" i="9"/>
  <c r="J22" i="9" s="1"/>
  <c r="J24" i="9" s="1"/>
  <c r="J26" i="9" s="1"/>
  <c r="K26" i="9" s="1"/>
  <c r="E22" i="9"/>
  <c r="E24" i="9" s="1"/>
  <c r="E26" i="9" s="1"/>
  <c r="K33" i="10"/>
  <c r="L33" i="10" s="1"/>
  <c r="L35" i="10" s="1"/>
  <c r="L37" i="10" s="1"/>
  <c r="G33" i="10"/>
  <c r="K32" i="10"/>
  <c r="L32" i="10" s="1"/>
  <c r="G32" i="10"/>
  <c r="G15" i="10" s="1"/>
  <c r="F12" i="10" s="1"/>
  <c r="C45" i="8" l="1"/>
  <c r="C46" i="8"/>
  <c r="C47" i="8"/>
  <c r="C36" i="8"/>
  <c r="C37" i="8"/>
  <c r="C38" i="8"/>
  <c r="C39" i="8"/>
  <c r="C40" i="8"/>
  <c r="C41" i="8"/>
  <c r="C42" i="8"/>
  <c r="C43" i="8"/>
  <c r="C44" i="8"/>
  <c r="G7" i="5" l="1"/>
  <c r="H7" i="5" s="1"/>
  <c r="G9" i="5"/>
  <c r="H9" i="5" s="1"/>
  <c r="H8" i="5"/>
  <c r="N36" i="8" l="1"/>
  <c r="J36" i="8"/>
  <c r="N35" i="8"/>
  <c r="J35" i="8"/>
  <c r="C35" i="8"/>
  <c r="N34" i="8"/>
  <c r="J34" i="8"/>
  <c r="C34" i="8"/>
  <c r="N33" i="8"/>
  <c r="J33" i="8"/>
  <c r="C33" i="8"/>
  <c r="N32" i="8"/>
  <c r="J32" i="8"/>
  <c r="C32" i="8"/>
  <c r="N31" i="8"/>
  <c r="J31" i="8"/>
  <c r="C31" i="8"/>
  <c r="N30" i="8"/>
  <c r="J30" i="8"/>
  <c r="C30" i="8"/>
  <c r="N29" i="8"/>
  <c r="J29" i="8"/>
  <c r="C29" i="8"/>
  <c r="N28" i="8"/>
  <c r="J28" i="8"/>
  <c r="C28" i="8"/>
  <c r="N27" i="8"/>
  <c r="J27" i="8"/>
  <c r="N26" i="8"/>
  <c r="J26" i="8"/>
  <c r="N25" i="8"/>
  <c r="J25" i="8"/>
  <c r="N24" i="8"/>
  <c r="J24" i="8"/>
  <c r="N23" i="8"/>
  <c r="J23" i="8"/>
  <c r="N22" i="8"/>
  <c r="J22" i="8"/>
  <c r="N21" i="8"/>
  <c r="J21" i="8"/>
  <c r="N20" i="8"/>
  <c r="J20" i="8"/>
  <c r="N19" i="8"/>
  <c r="J19" i="8"/>
  <c r="N18" i="8"/>
  <c r="J18" i="8"/>
  <c r="N17" i="8"/>
  <c r="J17" i="8"/>
  <c r="N16" i="8"/>
  <c r="J16" i="8"/>
  <c r="N15" i="8"/>
  <c r="J15" i="8"/>
  <c r="N14" i="8"/>
  <c r="J14" i="8"/>
  <c r="N13" i="8"/>
  <c r="J13" i="8"/>
  <c r="N12" i="8"/>
  <c r="J12" i="8"/>
  <c r="N11" i="8"/>
  <c r="J11" i="8"/>
  <c r="N10" i="8"/>
  <c r="J10" i="8"/>
  <c r="N9" i="8"/>
  <c r="J9" i="8"/>
  <c r="N8" i="8"/>
  <c r="J8" i="8"/>
  <c r="C18" i="6"/>
  <c r="C17" i="6"/>
  <c r="C16" i="6"/>
  <c r="F13" i="5"/>
  <c r="C5" i="5"/>
  <c r="C4" i="5"/>
  <c r="C3" i="5"/>
  <c r="F14" i="5" s="1"/>
  <c r="B28" i="8" l="1"/>
  <c r="B37" i="8"/>
  <c r="B36" i="8"/>
  <c r="B40" i="8"/>
  <c r="B44" i="8"/>
  <c r="B41" i="8"/>
  <c r="B45" i="8"/>
  <c r="B38" i="8"/>
  <c r="B42" i="8"/>
  <c r="B46" i="8"/>
  <c r="B47" i="8"/>
  <c r="B43" i="8"/>
  <c r="B39" i="8"/>
  <c r="B32" i="8"/>
  <c r="B31" i="8"/>
  <c r="B35" i="8"/>
  <c r="B30" i="8"/>
  <c r="B34" i="8"/>
  <c r="B29" i="8"/>
  <c r="B33" i="8"/>
  <c r="D24" i="8"/>
  <c r="C26" i="8"/>
  <c r="D23" i="8"/>
  <c r="G8" i="5"/>
  <c r="F12" i="5"/>
  <c r="D30" i="8" l="1"/>
  <c r="D46" i="8"/>
  <c r="D33" i="8"/>
  <c r="D35" i="8"/>
  <c r="D38" i="8"/>
  <c r="D41" i="8"/>
  <c r="D31" i="8"/>
  <c r="D32" i="8"/>
  <c r="D28" i="8"/>
  <c r="D44" i="8"/>
  <c r="D40" i="8"/>
  <c r="D34" i="8"/>
  <c r="D37" i="8"/>
  <c r="D29" i="8"/>
  <c r="D42" i="8"/>
  <c r="D43" i="8"/>
  <c r="D47" i="8"/>
  <c r="D36" i="8"/>
  <c r="D39" i="8"/>
  <c r="D45" i="8"/>
  <c r="L27" i="8"/>
  <c r="L13" i="8"/>
  <c r="L19" i="8"/>
  <c r="L36" i="8"/>
  <c r="E24" i="8"/>
  <c r="L23" i="8"/>
  <c r="L12" i="8"/>
  <c r="L34" i="8"/>
  <c r="E23" i="8"/>
  <c r="L10" i="8"/>
  <c r="L26" i="8"/>
  <c r="L22" i="8"/>
  <c r="L33" i="8"/>
  <c r="L15" i="8"/>
  <c r="L32" i="8"/>
  <c r="L8" i="8"/>
  <c r="L24" i="8"/>
  <c r="L9" i="8"/>
  <c r="L30" i="8"/>
  <c r="L18" i="8"/>
  <c r="L29" i="8"/>
  <c r="L11" i="8"/>
  <c r="L28" i="8"/>
  <c r="L20" i="8"/>
  <c r="L35" i="8"/>
  <c r="L21" i="8"/>
  <c r="L25" i="8"/>
  <c r="L14" i="8"/>
  <c r="L16" i="8"/>
  <c r="L31" i="8"/>
  <c r="L17" i="8"/>
  <c r="M14" i="8" l="1"/>
  <c r="K33" i="8"/>
  <c r="M9" i="8"/>
  <c r="K30" i="8"/>
  <c r="K24" i="8"/>
  <c r="M33" i="8"/>
  <c r="M23" i="8"/>
  <c r="M12" i="8"/>
  <c r="K26" i="8"/>
  <c r="K36" i="8"/>
  <c r="K25" i="8"/>
  <c r="K17" i="8"/>
  <c r="M32" i="8"/>
  <c r="M27" i="8"/>
  <c r="K21" i="8"/>
  <c r="M30" i="8"/>
  <c r="M19" i="8"/>
  <c r="K27" i="8"/>
  <c r="K28" i="8"/>
  <c r="K31" i="8"/>
  <c r="K9" i="8"/>
  <c r="M24" i="8"/>
  <c r="K13" i="8"/>
  <c r="K20" i="8"/>
  <c r="K18" i="8"/>
  <c r="M36" i="8"/>
  <c r="M29" i="8"/>
  <c r="M16" i="8"/>
  <c r="K16" i="8"/>
  <c r="K34" i="8"/>
  <c r="K11" i="8"/>
  <c r="K23" i="8"/>
  <c r="K22" i="8"/>
  <c r="M11" i="8"/>
  <c r="M18" i="8"/>
  <c r="M25" i="8"/>
  <c r="M31" i="8"/>
  <c r="K10" i="8"/>
  <c r="M34" i="8"/>
  <c r="M13" i="8"/>
  <c r="M20" i="8"/>
  <c r="M28" i="8"/>
  <c r="K29" i="8"/>
  <c r="K32" i="8"/>
  <c r="K15" i="8"/>
  <c r="M21" i="8"/>
  <c r="M26" i="8"/>
  <c r="K35" i="8"/>
  <c r="K12" i="8"/>
  <c r="K19" i="8"/>
  <c r="M15" i="8"/>
  <c r="M22" i="8"/>
  <c r="M35" i="8"/>
  <c r="K14" i="8"/>
  <c r="M10" i="8"/>
  <c r="M17" i="8"/>
  <c r="M8" i="8"/>
  <c r="K8" i="8"/>
</calcChain>
</file>

<file path=xl/sharedStrings.xml><?xml version="1.0" encoding="utf-8"?>
<sst xmlns="http://schemas.openxmlformats.org/spreadsheetml/2006/main" count="200" uniqueCount="134">
  <si>
    <t>UCL</t>
  </si>
  <si>
    <t>LCL</t>
  </si>
  <si>
    <t>lambda</t>
  </si>
  <si>
    <t>Data</t>
  </si>
  <si>
    <t>CDF</t>
  </si>
  <si>
    <t>Probit</t>
  </si>
  <si>
    <t>Best</t>
  </si>
  <si>
    <t>dof</t>
  </si>
  <si>
    <t>chi-sq</t>
  </si>
  <si>
    <t>p-value</t>
  </si>
  <si>
    <t>fail count</t>
  </si>
  <si>
    <t>device hours</t>
  </si>
  <si>
    <t>Maximum likelihood:</t>
  </si>
  <si>
    <t>likelihood</t>
  </si>
  <si>
    <t>Log LR</t>
  </si>
  <si>
    <t>estimate</t>
  </si>
  <si>
    <t>Analytic:</t>
  </si>
  <si>
    <t>How many units do we need to verify a 500,000 hr MTTF with 80% confidence, given that we can run a test for 2500 hours and 2 fails are allowed?</t>
  </si>
  <si>
    <t>3. Guess at a sample size SS (&gt;1) and list all other givens.</t>
  </si>
  <si>
    <t>4. Calculate the point (best) estimate lambda_BE as fails / (hours*SS)</t>
  </si>
  <si>
    <t>6. By trial and error, adjust SS until lambda_UCL is as close as you can get to the target</t>
  </si>
  <si>
    <t>MTTF</t>
  </si>
  <si>
    <t>hr</t>
  </si>
  <si>
    <t>fails</t>
  </si>
  <si>
    <t>SS</t>
  </si>
  <si>
    <t>lambda_target</t>
  </si>
  <si>
    <t>/ 1,000,000</t>
  </si>
  <si>
    <t>=1/MTTF *10^6</t>
  </si>
  <si>
    <t>lambda_BE</t>
  </si>
  <si>
    <t>=fails/(hours*SS) *10^6</t>
  </si>
  <si>
    <t>lambda_UCL</t>
  </si>
  <si>
    <t>For the data sample below, determine the 95% confidence limits on the 2-sigma value of the distribution.  This will require finding mu, sigma, and uncertainties in each.</t>
  </si>
  <si>
    <t>CL</t>
  </si>
  <si>
    <t>fit</t>
  </si>
  <si>
    <t>delta</t>
  </si>
  <si>
    <t>count</t>
  </si>
  <si>
    <t>mean</t>
  </si>
  <si>
    <t>stdev</t>
  </si>
  <si>
    <t>probit</t>
  </si>
  <si>
    <t>Press F9 to see a new random data set generated, and model parameters extracted, and the resulting model plotted (blue) with uncertainties (red).  Compare to the population model (black).</t>
  </si>
  <si>
    <t>calc x</t>
  </si>
  <si>
    <t>LCL x</t>
  </si>
  <si>
    <t>fit x</t>
  </si>
  <si>
    <t>UCL x</t>
  </si>
  <si>
    <t>theory</t>
  </si>
  <si>
    <t>Rank</t>
  </si>
  <si>
    <t>MLE for Exponential</t>
  </si>
  <si>
    <t>lambda (fails / dev hrs)</t>
  </si>
  <si>
    <t>Find sample size to meet a MTTF target</t>
  </si>
  <si>
    <t>Normal distribution parameters and uncertainties</t>
  </si>
  <si>
    <t>confidence level</t>
  </si>
  <si>
    <t>=CHIINV(1-CL, 2*(fails+1))/(2*hours*SS) *10^6</t>
  </si>
  <si>
    <t>5. Calculate the upper confidence value lambda_UCL as CHIINV(1-CL, 2*(fails+1))/(2*hours*SS)</t>
  </si>
  <si>
    <t>Demo of uncertainty calculations for normal distribution</t>
  </si>
  <si>
    <t>Fit a Weilbull model to the given readout data.  Include best estimates and UCL/LCL for both the shape and lifetime parameters, and include a goodness-of-fit test.</t>
  </si>
  <si>
    <t>Worst case</t>
  </si>
  <si>
    <t>FOM time</t>
  </si>
  <si>
    <t>shape</t>
  </si>
  <si>
    <t>FOM pfail</t>
  </si>
  <si>
    <t>lifetime</t>
  </si>
  <si>
    <t>Weibits</t>
  </si>
  <si>
    <t>Goodness of fit test</t>
  </si>
  <si>
    <t>time</t>
  </si>
  <si>
    <t>model F</t>
  </si>
  <si>
    <t>L</t>
  </si>
  <si>
    <t>data F</t>
  </si>
  <si>
    <t>Model</t>
  </si>
  <si>
    <t>pred fails</t>
  </si>
  <si>
    <t>chi-sq stat</t>
  </si>
  <si>
    <t>survivors</t>
  </si>
  <si>
    <t>Ltotal</t>
  </si>
  <si>
    <t>best L</t>
  </si>
  <si>
    <t>LR p-value</t>
  </si>
  <si>
    <t>a) Use MLE to find mu, sigma, and Ea for a lognormal / Arrhenius fit to this data.  Find 90% confidence limits on the parameters.  Do a chi-square goodness-of-fit test.</t>
  </si>
  <si>
    <t>b) Do a likelihood ratio (LR) test comparing 2 lognormal models with no Ea to 1 lognormal model with Ea.  Is an acceleration model justified?</t>
  </si>
  <si>
    <t>c) Do ~10 Monte Carlo iterations with synthesized data, recording mu, sigma, Ea, and the FOM pfail, and make scatter plots to look for correlations.</t>
  </si>
  <si>
    <t>mu</t>
  </si>
  <si>
    <t>FOM  T</t>
  </si>
  <si>
    <t>sigma</t>
  </si>
  <si>
    <t>FOM t_eff</t>
  </si>
  <si>
    <t>Ea</t>
  </si>
  <si>
    <t>Random Fails Synthesizer</t>
  </si>
  <si>
    <t>Tref</t>
  </si>
  <si>
    <t>LR test of using an acceleration:</t>
  </si>
  <si>
    <t>L (together)</t>
  </si>
  <si>
    <t>L (separate)</t>
  </si>
  <si>
    <t>leg 1</t>
  </si>
  <si>
    <t>leg 2</t>
  </si>
  <si>
    <t>Probits</t>
  </si>
  <si>
    <t>sum</t>
  </si>
  <si>
    <t>T</t>
  </si>
  <si>
    <t>time_clock</t>
  </si>
  <si>
    <t>time_eff</t>
  </si>
  <si>
    <t>given fails</t>
  </si>
  <si>
    <t>synth time</t>
  </si>
  <si>
    <t>synth F</t>
  </si>
  <si>
    <t>cum fails</t>
  </si>
  <si>
    <t>synth fails</t>
  </si>
  <si>
    <t>leg1</t>
  </si>
  <si>
    <t>Monte Carlo sim:</t>
  </si>
  <si>
    <t>run</t>
  </si>
  <si>
    <t>leg2</t>
  </si>
  <si>
    <t>MLE for a Weibull distribution</t>
  </si>
  <si>
    <t>Lognormal MLE fit with temperature acceleration</t>
  </si>
  <si>
    <t>1. Note that the target lambda as 1/MTTF.</t>
  </si>
  <si>
    <t>2. Note that all lambda values below are multiplied by 1,000,000 to make them easier to evaluate.</t>
  </si>
  <si>
    <t>Mean</t>
  </si>
  <si>
    <t>Best Est</t>
  </si>
  <si>
    <t>Standard Deviation</t>
  </si>
  <si>
    <t>Random data</t>
  </si>
  <si>
    <t>Stdev</t>
  </si>
  <si>
    <t>Name</t>
  </si>
  <si>
    <t>Percentile</t>
  </si>
  <si>
    <t>Value</t>
  </si>
  <si>
    <t>Mean CDF</t>
  </si>
  <si>
    <t>Stdev CDF</t>
  </si>
  <si>
    <t>Voltage Acceleration</t>
  </si>
  <si>
    <t>Find the voltage acceleration factor.</t>
  </si>
  <si>
    <t>Find the coefficient in an exponential voltage acceleration model.</t>
  </si>
  <si>
    <t>V1</t>
  </si>
  <si>
    <t>V2</t>
  </si>
  <si>
    <t>MTTF 1</t>
  </si>
  <si>
    <t>MTTF 2</t>
  </si>
  <si>
    <t>V</t>
  </si>
  <si>
    <t>VAF</t>
  </si>
  <si>
    <t>C</t>
  </si>
  <si>
    <t>Temperature Acceleration</t>
  </si>
  <si>
    <t>Find the temperature acceleration factor.</t>
  </si>
  <si>
    <t>Find the coefficient in an Arrhenius temperature acceleration model.</t>
  </si>
  <si>
    <t>T1</t>
  </si>
  <si>
    <t>T2</t>
  </si>
  <si>
    <t>deg C</t>
  </si>
  <si>
    <t>k</t>
  </si>
  <si>
    <t>eV/K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</si>
</sst>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</fills>
  <borders count="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</borders>
  <cellStyleXfs count="5">
    <xf numFmtId="0" fontId="0" fillId="0" borderId="0"/>
    <xf numFmtId="0" fontId="1" fillId="2" borderId="1" applyNumberFormat="0" applyFont="0" applyAlignment="0" applyProtection="0"/>
    <xf numFmtId="9" fontId="1" fillId="3" borderId="1" applyNumberFormat="0" applyFont="0" applyAlignment="0" applyProtection="0"/>
    <xf numFmtId="0" fontId="1" fillId="4" borderId="1" applyNumberFormat="0" applyFont="0" applyAlignment="0" applyProtection="0"/>
    <xf numFmtId="0" fontId="1" fillId="0" borderId="1" applyNumberFormat="0" applyFont="0" applyAlignment="0" applyProtection="0"/>
  </cellStyleXfs>
  <cellXfs count="46">
    <xf numFmtId="0" fontId="0" fillId="0" borderId="0" xfId="0"/>
    <xf numFmtId="0" fontId="0" fillId="2" borderId="1" xfId="1" applyFont="1"/>
    <xf numFmtId="0" fontId="0" fillId="3" borderId="1" xfId="2" applyNumberFormat="1" applyFont="1"/>
    <xf numFmtId="0" fontId="0" fillId="4" borderId="1" xfId="3" applyFont="1"/>
    <xf numFmtId="0" fontId="3" fillId="0" borderId="0" xfId="0" applyFont="1"/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/>
    <xf numFmtId="0" fontId="2" fillId="0" borderId="0" xfId="0" applyFont="1" applyFill="1"/>
    <xf numFmtId="0" fontId="0" fillId="0" borderId="0" xfId="0" applyFill="1"/>
    <xf numFmtId="0" fontId="2" fillId="0" borderId="0" xfId="0" applyFont="1"/>
    <xf numFmtId="0" fontId="2" fillId="0" borderId="0" xfId="0" applyFont="1" applyFill="1" applyAlignment="1">
      <alignment horizontal="left"/>
    </xf>
    <xf numFmtId="0" fontId="4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quotePrefix="1" applyFont="1"/>
    <xf numFmtId="0" fontId="0" fillId="0" borderId="0" xfId="0" applyAlignment="1"/>
    <xf numFmtId="0" fontId="0" fillId="0" borderId="0" xfId="0" applyBorder="1" applyAlignment="1"/>
    <xf numFmtId="0" fontId="2" fillId="2" borderId="1" xfId="1" applyFont="1"/>
    <xf numFmtId="0" fontId="2" fillId="4" borderId="1" xfId="3" applyFont="1"/>
    <xf numFmtId="0" fontId="2" fillId="3" borderId="1" xfId="2" applyNumberFormat="1" applyFont="1"/>
    <xf numFmtId="0" fontId="2" fillId="2" borderId="1" xfId="1" applyFont="1" applyAlignment="1"/>
    <xf numFmtId="9" fontId="2" fillId="4" borderId="1" xfId="3" applyNumberFormat="1" applyFont="1"/>
    <xf numFmtId="0" fontId="2" fillId="2" borderId="1" xfId="1" applyFont="1" applyAlignment="1">
      <alignment horizontal="center"/>
    </xf>
    <xf numFmtId="0" fontId="2" fillId="2" borderId="1" xfId="1" applyFont="1" applyAlignment="1">
      <alignment horizontal="right"/>
    </xf>
    <xf numFmtId="9" fontId="2" fillId="3" borderId="1" xfId="2" applyNumberFormat="1" applyFont="1"/>
    <xf numFmtId="0" fontId="0" fillId="0" borderId="0" xfId="0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Fill="1"/>
    <xf numFmtId="0" fontId="2" fillId="5" borderId="1" xfId="2" applyNumberFormat="1" applyFont="1" applyFill="1"/>
    <xf numFmtId="0" fontId="0" fillId="0" borderId="1" xfId="4" applyFont="1"/>
    <xf numFmtId="0" fontId="0" fillId="2" borderId="1" xfId="1" applyFont="1" applyAlignment="1">
      <alignment horizontal="center"/>
    </xf>
    <xf numFmtId="0" fontId="0" fillId="2" borderId="1" xfId="1" applyFont="1" applyAlignment="1"/>
    <xf numFmtId="0" fontId="0" fillId="0" borderId="1" xfId="0" applyBorder="1"/>
    <xf numFmtId="0" fontId="0" fillId="4" borderId="2" xfId="3" applyFont="1" applyBorder="1"/>
    <xf numFmtId="0" fontId="0" fillId="5" borderId="1" xfId="2" applyNumberFormat="1" applyFont="1" applyFill="1"/>
    <xf numFmtId="0" fontId="0" fillId="2" borderId="1" xfId="1" applyFont="1"/>
    <xf numFmtId="9" fontId="0" fillId="0" borderId="1" xfId="4" applyNumberFormat="1" applyFont="1"/>
    <xf numFmtId="0" fontId="0" fillId="2" borderId="1" xfId="1" applyFont="1"/>
    <xf numFmtId="0" fontId="0" fillId="2" borderId="1" xfId="1" applyFont="1" applyAlignment="1">
      <alignment horizontal="center"/>
    </xf>
    <xf numFmtId="0" fontId="2" fillId="2" borderId="1" xfId="1" applyFont="1" applyAlignment="1">
      <alignment horizontal="center"/>
    </xf>
    <xf numFmtId="0" fontId="0" fillId="2" borderId="1" xfId="1" applyFont="1" applyAlignment="1">
      <alignment horizontal="left"/>
    </xf>
    <xf numFmtId="0" fontId="5" fillId="0" borderId="0" xfId="0" applyFont="1"/>
    <xf numFmtId="0" fontId="0" fillId="4" borderId="1" xfId="3" applyNumberFormat="1" applyFont="1"/>
  </cellXfs>
  <cellStyles count="5">
    <cellStyle name="J - Highlight" xfId="4"/>
    <cellStyle name="J - Input" xfId="2"/>
    <cellStyle name="J - Label" xfId="1"/>
    <cellStyle name="J - Output" xfId="3"/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CECFF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572457455539039"/>
          <c:y val="6.5492868157201192E-2"/>
          <c:w val="0.77167655756043574"/>
          <c:h val="0.74810110256005047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3"/>
          </c:marker>
          <c:xVal>
            <c:numRef>
              <c:f>'Ex 8.5a'!$K$32:$K$131</c:f>
              <c:numCache>
                <c:formatCode>General</c:formatCode>
                <c:ptCount val="100"/>
                <c:pt idx="0">
                  <c:v>2.1202464769747893</c:v>
                </c:pt>
                <c:pt idx="1">
                  <c:v>2.0136478524679742</c:v>
                </c:pt>
                <c:pt idx="2">
                  <c:v>2.1912349900133248</c:v>
                </c:pt>
                <c:pt idx="3">
                  <c:v>2.0971643950235084</c:v>
                </c:pt>
                <c:pt idx="4">
                  <c:v>2.0196939019907854</c:v>
                </c:pt>
                <c:pt idx="5">
                  <c:v>2.0334891737620153</c:v>
                </c:pt>
                <c:pt idx="6">
                  <c:v>2.2766035473091426</c:v>
                </c:pt>
                <c:pt idx="7">
                  <c:v>2.2374386823977539</c:v>
                </c:pt>
                <c:pt idx="8">
                  <c:v>2.3176377627146554</c:v>
                </c:pt>
                <c:pt idx="9">
                  <c:v>2.0888753086655272</c:v>
                </c:pt>
                <c:pt idx="10">
                  <c:v>2.2793040029000555</c:v>
                </c:pt>
                <c:pt idx="11">
                  <c:v>2.0841727676045174</c:v>
                </c:pt>
                <c:pt idx="12">
                  <c:v>2.1348027880446518</c:v>
                </c:pt>
                <c:pt idx="13">
                  <c:v>2.4257334810095479</c:v>
                </c:pt>
                <c:pt idx="14">
                  <c:v>1.9410481631494361</c:v>
                </c:pt>
                <c:pt idx="15">
                  <c:v>2.1589879392024804</c:v>
                </c:pt>
                <c:pt idx="16">
                  <c:v>2.209104607416613</c:v>
                </c:pt>
                <c:pt idx="17">
                  <c:v>2.1769422674200647</c:v>
                </c:pt>
                <c:pt idx="18">
                  <c:v>1.8791579077954077</c:v>
                </c:pt>
                <c:pt idx="19">
                  <c:v>2.2846577317109173</c:v>
                </c:pt>
                <c:pt idx="20">
                  <c:v>2.1434738644769342</c:v>
                </c:pt>
                <c:pt idx="21">
                  <c:v>2.0931260160185801</c:v>
                </c:pt>
                <c:pt idx="22">
                  <c:v>2.1589468222117745</c:v>
                </c:pt>
                <c:pt idx="23">
                  <c:v>2.1576293441060459</c:v>
                </c:pt>
                <c:pt idx="24">
                  <c:v>2.147503770476793</c:v>
                </c:pt>
                <c:pt idx="25">
                  <c:v>1.7699972152676431</c:v>
                </c:pt>
                <c:pt idx="26">
                  <c:v>2.3781552879588501</c:v>
                </c:pt>
                <c:pt idx="27">
                  <c:v>2.0355214692236614</c:v>
                </c:pt>
                <c:pt idx="28">
                  <c:v>2.1670707074348625</c:v>
                </c:pt>
                <c:pt idx="29">
                  <c:v>2.1833567831867722</c:v>
                </c:pt>
                <c:pt idx="30">
                  <c:v>2.0195943600568849</c:v>
                </c:pt>
                <c:pt idx="31">
                  <c:v>2.030431251917427</c:v>
                </c:pt>
                <c:pt idx="32">
                  <c:v>1.817696141984162</c:v>
                </c:pt>
                <c:pt idx="33">
                  <c:v>1.9842194632638233</c:v>
                </c:pt>
                <c:pt idx="34">
                  <c:v>2.0860714839420971</c:v>
                </c:pt>
                <c:pt idx="35">
                  <c:v>2.0697254202637279</c:v>
                </c:pt>
                <c:pt idx="36">
                  <c:v>2.063782332856626</c:v>
                </c:pt>
                <c:pt idx="37">
                  <c:v>1.9451623402410858</c:v>
                </c:pt>
                <c:pt idx="38">
                  <c:v>2.0865377752320047</c:v>
                </c:pt>
                <c:pt idx="39">
                  <c:v>2.0929757646016585</c:v>
                </c:pt>
                <c:pt idx="40">
                  <c:v>2.2340726536919351</c:v>
                </c:pt>
                <c:pt idx="41">
                  <c:v>2.0416507527438359</c:v>
                </c:pt>
                <c:pt idx="42">
                  <c:v>2.1210212193312294</c:v>
                </c:pt>
                <c:pt idx="43">
                  <c:v>1.7870816647119834</c:v>
                </c:pt>
                <c:pt idx="44">
                  <c:v>2.1551932696214604</c:v>
                </c:pt>
                <c:pt idx="45">
                  <c:v>1.9721096742661592</c:v>
                </c:pt>
                <c:pt idx="46">
                  <c:v>2.1145459259526129</c:v>
                </c:pt>
                <c:pt idx="47">
                  <c:v>1.9952631231101681</c:v>
                </c:pt>
                <c:pt idx="48">
                  <c:v>1.8730602870999951</c:v>
                </c:pt>
                <c:pt idx="49">
                  <c:v>2.1419992465051276</c:v>
                </c:pt>
                <c:pt idx="50">
                  <c:v>1.9537687070271328</c:v>
                </c:pt>
                <c:pt idx="51">
                  <c:v>2.0601907459848081</c:v>
                </c:pt>
                <c:pt idx="52">
                  <c:v>2.2375365872304904</c:v>
                </c:pt>
                <c:pt idx="53">
                  <c:v>2.1086903347532515</c:v>
                </c:pt>
                <c:pt idx="54">
                  <c:v>1.956783541786955</c:v>
                </c:pt>
                <c:pt idx="55">
                  <c:v>1.7691156481684744</c:v>
                </c:pt>
                <c:pt idx="56">
                  <c:v>2.1878395840658182</c:v>
                </c:pt>
                <c:pt idx="57">
                  <c:v>2.0114538414282617</c:v>
                </c:pt>
                <c:pt idx="58">
                  <c:v>2.1643625739234125</c:v>
                </c:pt>
                <c:pt idx="59">
                  <c:v>2.3062971392390228</c:v>
                </c:pt>
                <c:pt idx="60">
                  <c:v>2.0882314401909281</c:v>
                </c:pt>
                <c:pt idx="61">
                  <c:v>2.1241517867442918</c:v>
                </c:pt>
                <c:pt idx="62">
                  <c:v>2.0925483561551679</c:v>
                </c:pt>
                <c:pt idx="63">
                  <c:v>2.2779787910789016</c:v>
                </c:pt>
                <c:pt idx="64">
                  <c:v>2.0208981341669112</c:v>
                </c:pt>
                <c:pt idx="65">
                  <c:v>2.0095035222356725</c:v>
                </c:pt>
                <c:pt idx="66">
                  <c:v>2.2098935376728113</c:v>
                </c:pt>
                <c:pt idx="67">
                  <c:v>2.0174363060572511</c:v>
                </c:pt>
                <c:pt idx="68">
                  <c:v>1.9823972138849912</c:v>
                </c:pt>
                <c:pt idx="69">
                  <c:v>1.9713492576365188</c:v>
                </c:pt>
                <c:pt idx="70">
                  <c:v>2.1892043865095827</c:v>
                </c:pt>
                <c:pt idx="71">
                  <c:v>2.1047082856086727</c:v>
                </c:pt>
                <c:pt idx="72">
                  <c:v>2.1386335492105006</c:v>
                </c:pt>
                <c:pt idx="73">
                  <c:v>2.0275397754229854</c:v>
                </c:pt>
                <c:pt idx="74">
                  <c:v>2.0133648400703286</c:v>
                </c:pt>
                <c:pt idx="75">
                  <c:v>1.823176892304871</c:v>
                </c:pt>
                <c:pt idx="76">
                  <c:v>2.1033630311551743</c:v>
                </c:pt>
                <c:pt idx="77">
                  <c:v>2.2677454030361037</c:v>
                </c:pt>
                <c:pt idx="78">
                  <c:v>2.2913986744051789</c:v>
                </c:pt>
                <c:pt idx="79">
                  <c:v>2.1932539459184057</c:v>
                </c:pt>
                <c:pt idx="80">
                  <c:v>1.809516491834086</c:v>
                </c:pt>
                <c:pt idx="81">
                  <c:v>2.0576631362696514</c:v>
                </c:pt>
                <c:pt idx="82">
                  <c:v>1.9301024734754901</c:v>
                </c:pt>
                <c:pt idx="83">
                  <c:v>2.0624908328873364</c:v>
                </c:pt>
                <c:pt idx="84">
                  <c:v>1.9982882159828759</c:v>
                </c:pt>
                <c:pt idx="85">
                  <c:v>2.2234710943760976</c:v>
                </c:pt>
                <c:pt idx="86">
                  <c:v>1.8139927406102467</c:v>
                </c:pt>
                <c:pt idx="87">
                  <c:v>2.2308159124944673</c:v>
                </c:pt>
                <c:pt idx="88">
                  <c:v>1.9644950344899965</c:v>
                </c:pt>
                <c:pt idx="89">
                  <c:v>2.1314812708111992</c:v>
                </c:pt>
                <c:pt idx="90">
                  <c:v>1.9749314136010103</c:v>
                </c:pt>
                <c:pt idx="91">
                  <c:v>1.9732974100993381</c:v>
                </c:pt>
                <c:pt idx="92">
                  <c:v>1.9789147153054099</c:v>
                </c:pt>
                <c:pt idx="93">
                  <c:v>2.3449536928419268</c:v>
                </c:pt>
                <c:pt idx="94">
                  <c:v>2.1195989641878001</c:v>
                </c:pt>
                <c:pt idx="95">
                  <c:v>2.0779883351470945</c:v>
                </c:pt>
                <c:pt idx="96">
                  <c:v>1.7563760886197524</c:v>
                </c:pt>
                <c:pt idx="97">
                  <c:v>2.2080087934732711</c:v>
                </c:pt>
                <c:pt idx="98">
                  <c:v>2.1357143019961473</c:v>
                </c:pt>
                <c:pt idx="99">
                  <c:v>2.1533501981154917</c:v>
                </c:pt>
              </c:numCache>
            </c:numRef>
          </c:xVal>
          <c:yVal>
            <c:numRef>
              <c:f>'Ex 8.5a'!$M$32:$M$131</c:f>
              <c:numCache>
                <c:formatCode>General</c:formatCode>
                <c:ptCount val="100"/>
                <c:pt idx="0">
                  <c:v>0.58466135458167334</c:v>
                </c:pt>
                <c:pt idx="1">
                  <c:v>0.28585657370517925</c:v>
                </c:pt>
                <c:pt idx="2">
                  <c:v>0.79382470119521908</c:v>
                </c:pt>
                <c:pt idx="3">
                  <c:v>0.52490039840637448</c:v>
                </c:pt>
                <c:pt idx="4">
                  <c:v>0.31573705179282868</c:v>
                </c:pt>
                <c:pt idx="5">
                  <c:v>0.35557768924302791</c:v>
                </c:pt>
                <c:pt idx="6">
                  <c:v>0.90338645418326691</c:v>
                </c:pt>
                <c:pt idx="7">
                  <c:v>0.87350597609561753</c:v>
                </c:pt>
                <c:pt idx="8">
                  <c:v>0.96314741035856566</c:v>
                </c:pt>
                <c:pt idx="9">
                  <c:v>0.48505976095617531</c:v>
                </c:pt>
                <c:pt idx="10">
                  <c:v>0.92330677290836649</c:v>
                </c:pt>
                <c:pt idx="11">
                  <c:v>0.44521912350597609</c:v>
                </c:pt>
                <c:pt idx="12">
                  <c:v>0.62450199203187251</c:v>
                </c:pt>
                <c:pt idx="13">
                  <c:v>0.99302788844621515</c:v>
                </c:pt>
                <c:pt idx="14">
                  <c:v>0.11653386454183265</c:v>
                </c:pt>
                <c:pt idx="15">
                  <c:v>0.72410358565737054</c:v>
                </c:pt>
                <c:pt idx="16">
                  <c:v>0.82370517928286846</c:v>
                </c:pt>
                <c:pt idx="17">
                  <c:v>0.75398406374501992</c:v>
                </c:pt>
                <c:pt idx="18">
                  <c:v>9.6613545816733051E-2</c:v>
                </c:pt>
                <c:pt idx="19">
                  <c:v>0.93326693227091628</c:v>
                </c:pt>
                <c:pt idx="20">
                  <c:v>0.66434262948207168</c:v>
                </c:pt>
                <c:pt idx="21">
                  <c:v>0.51494023904382469</c:v>
                </c:pt>
                <c:pt idx="22">
                  <c:v>0.71414342629482075</c:v>
                </c:pt>
                <c:pt idx="23">
                  <c:v>0.70418326693227096</c:v>
                </c:pt>
                <c:pt idx="24">
                  <c:v>0.67430278884462147</c:v>
                </c:pt>
                <c:pt idx="25">
                  <c:v>2.6892430278884463E-2</c:v>
                </c:pt>
                <c:pt idx="26">
                  <c:v>0.98306772908366535</c:v>
                </c:pt>
                <c:pt idx="27">
                  <c:v>0.3655378486055777</c:v>
                </c:pt>
                <c:pt idx="28">
                  <c:v>0.74402390438247012</c:v>
                </c:pt>
                <c:pt idx="29">
                  <c:v>0.76394422310756971</c:v>
                </c:pt>
                <c:pt idx="30">
                  <c:v>0.30577689243027883</c:v>
                </c:pt>
                <c:pt idx="31">
                  <c:v>0.34561752988047811</c:v>
                </c:pt>
                <c:pt idx="32">
                  <c:v>6.6733067729083662E-2</c:v>
                </c:pt>
                <c:pt idx="33">
                  <c:v>0.22609561752988047</c:v>
                </c:pt>
                <c:pt idx="34">
                  <c:v>0.45517928286852588</c:v>
                </c:pt>
                <c:pt idx="35">
                  <c:v>0.4252988047808765</c:v>
                </c:pt>
                <c:pt idx="36">
                  <c:v>0.41533864541832671</c:v>
                </c:pt>
                <c:pt idx="37">
                  <c:v>0.12649402390438247</c:v>
                </c:pt>
                <c:pt idx="38">
                  <c:v>0.46513944223107567</c:v>
                </c:pt>
                <c:pt idx="39">
                  <c:v>0.5049800796812749</c:v>
                </c:pt>
                <c:pt idx="40">
                  <c:v>0.86354581673306774</c:v>
                </c:pt>
                <c:pt idx="41">
                  <c:v>0.37549800796812749</c:v>
                </c:pt>
                <c:pt idx="42">
                  <c:v>0.59462151394422313</c:v>
                </c:pt>
                <c:pt idx="43">
                  <c:v>3.6852589641434265E-2</c:v>
                </c:pt>
                <c:pt idx="44">
                  <c:v>0.69422310756972105</c:v>
                </c:pt>
                <c:pt idx="45">
                  <c:v>0.17629482071713146</c:v>
                </c:pt>
                <c:pt idx="46">
                  <c:v>0.56474103585657365</c:v>
                </c:pt>
                <c:pt idx="47">
                  <c:v>0.23605577689243026</c:v>
                </c:pt>
                <c:pt idx="48">
                  <c:v>8.6653386454183259E-2</c:v>
                </c:pt>
                <c:pt idx="49">
                  <c:v>0.65438247011952189</c:v>
                </c:pt>
                <c:pt idx="50">
                  <c:v>0.13645418326693226</c:v>
                </c:pt>
                <c:pt idx="51">
                  <c:v>0.39541832669322707</c:v>
                </c:pt>
                <c:pt idx="52">
                  <c:v>0.88346613545816732</c:v>
                </c:pt>
                <c:pt idx="53">
                  <c:v>0.55478087649402386</c:v>
                </c:pt>
                <c:pt idx="54">
                  <c:v>0.14641434262948205</c:v>
                </c:pt>
                <c:pt idx="55">
                  <c:v>1.693227091633466E-2</c:v>
                </c:pt>
                <c:pt idx="56">
                  <c:v>0.7739043824701195</c:v>
                </c:pt>
                <c:pt idx="57">
                  <c:v>0.26593625498007967</c:v>
                </c:pt>
                <c:pt idx="58">
                  <c:v>0.73406374501992033</c:v>
                </c:pt>
                <c:pt idx="59">
                  <c:v>0.95318725099601587</c:v>
                </c:pt>
                <c:pt idx="60">
                  <c:v>0.47509960159362552</c:v>
                </c:pt>
                <c:pt idx="61">
                  <c:v>0.60458167330677293</c:v>
                </c:pt>
                <c:pt idx="62">
                  <c:v>0.4950199203187251</c:v>
                </c:pt>
                <c:pt idx="63">
                  <c:v>0.9133466135458167</c:v>
                </c:pt>
                <c:pt idx="64">
                  <c:v>0.32569721115537847</c:v>
                </c:pt>
                <c:pt idx="65">
                  <c:v>0.25597609561752988</c:v>
                </c:pt>
                <c:pt idx="66">
                  <c:v>0.83366533864541825</c:v>
                </c:pt>
                <c:pt idx="67">
                  <c:v>0.29581673306772904</c:v>
                </c:pt>
                <c:pt idx="68">
                  <c:v>0.21613545816733065</c:v>
                </c:pt>
                <c:pt idx="69">
                  <c:v>0.16633466135458166</c:v>
                </c:pt>
                <c:pt idx="70">
                  <c:v>0.78386454183266929</c:v>
                </c:pt>
                <c:pt idx="71">
                  <c:v>0.54482071713147406</c:v>
                </c:pt>
                <c:pt idx="72">
                  <c:v>0.64442231075697209</c:v>
                </c:pt>
                <c:pt idx="73">
                  <c:v>0.33565737051792832</c:v>
                </c:pt>
                <c:pt idx="74">
                  <c:v>0.27589641434262946</c:v>
                </c:pt>
                <c:pt idx="75">
                  <c:v>7.6693227091633467E-2</c:v>
                </c:pt>
                <c:pt idx="76">
                  <c:v>0.53486055776892427</c:v>
                </c:pt>
                <c:pt idx="77">
                  <c:v>0.89342629482071712</c:v>
                </c:pt>
                <c:pt idx="78">
                  <c:v>0.94322709163346607</c:v>
                </c:pt>
                <c:pt idx="79">
                  <c:v>0.80378486055776888</c:v>
                </c:pt>
                <c:pt idx="80">
                  <c:v>4.6812749003984064E-2</c:v>
                </c:pt>
                <c:pt idx="81">
                  <c:v>0.38545816733067728</c:v>
                </c:pt>
                <c:pt idx="82">
                  <c:v>0.10657370517928286</c:v>
                </c:pt>
                <c:pt idx="83">
                  <c:v>0.40537848605577692</c:v>
                </c:pt>
                <c:pt idx="84">
                  <c:v>0.24601593625498006</c:v>
                </c:pt>
                <c:pt idx="85">
                  <c:v>0.84362549800796816</c:v>
                </c:pt>
                <c:pt idx="86">
                  <c:v>5.6772908366533863E-2</c:v>
                </c:pt>
                <c:pt idx="87">
                  <c:v>0.85358565737051795</c:v>
                </c:pt>
                <c:pt idx="88">
                  <c:v>0.15637450199203184</c:v>
                </c:pt>
                <c:pt idx="89">
                  <c:v>0.61454183266932272</c:v>
                </c:pt>
                <c:pt idx="90">
                  <c:v>0.19621513944223107</c:v>
                </c:pt>
                <c:pt idx="91">
                  <c:v>0.18625498007968125</c:v>
                </c:pt>
                <c:pt idx="92">
                  <c:v>0.20617529880478086</c:v>
                </c:pt>
                <c:pt idx="93">
                  <c:v>0.97310756972111556</c:v>
                </c:pt>
                <c:pt idx="94">
                  <c:v>0.57470119521912355</c:v>
                </c:pt>
                <c:pt idx="95">
                  <c:v>0.4352589641434263</c:v>
                </c:pt>
                <c:pt idx="96">
                  <c:v>6.9721115537848596E-3</c:v>
                </c:pt>
                <c:pt idx="97">
                  <c:v>0.81374501992031867</c:v>
                </c:pt>
                <c:pt idx="98">
                  <c:v>0.6344621513944223</c:v>
                </c:pt>
                <c:pt idx="99">
                  <c:v>0.68426294820717126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'Ex 8.5a'!$E$6</c:f>
              <c:strCache>
                <c:ptCount val="1"/>
                <c:pt idx="0">
                  <c:v>UCL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</c:marker>
          <c:xVal>
            <c:numRef>
              <c:f>'Ex 8.5a'!$G$6:$G$8</c:f>
              <c:numCache>
                <c:formatCode>General</c:formatCode>
                <c:ptCount val="3"/>
                <c:pt idx="0">
                  <c:v>2.4053097212539214</c:v>
                </c:pt>
                <c:pt idx="1">
                  <c:v>2.0883758578027685</c:v>
                </c:pt>
                <c:pt idx="2">
                  <c:v>1.7714419943516158</c:v>
                </c:pt>
              </c:numCache>
            </c:numRef>
          </c:xVal>
          <c:yVal>
            <c:numRef>
              <c:f>'Ex 8.5a'!$F$6:$F$8</c:f>
              <c:numCache>
                <c:formatCode>0%</c:formatCode>
                <c:ptCount val="3"/>
                <c:pt idx="0">
                  <c:v>0.95</c:v>
                </c:pt>
                <c:pt idx="1">
                  <c:v>0.5</c:v>
                </c:pt>
                <c:pt idx="2">
                  <c:v>5.0000000000000044E-2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0995584"/>
        <c:axId val="350997504"/>
      </c:scatterChart>
      <c:valAx>
        <c:axId val="350995584"/>
        <c:scaling>
          <c:orientation val="minMax"/>
          <c:max val="2.5"/>
          <c:min val="1.5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Mean</a:t>
                </a:r>
              </a:p>
            </c:rich>
          </c:tx>
          <c:layout>
            <c:manualLayout>
              <c:xMode val="edge"/>
              <c:yMode val="edge"/>
              <c:x val="0.47737839020122486"/>
              <c:y val="0.900787037037037"/>
            </c:manualLayout>
          </c:layout>
          <c:overlay val="0"/>
        </c:title>
        <c:numFmt formatCode="General" sourceLinked="1"/>
        <c:majorTickMark val="cross"/>
        <c:minorTickMark val="out"/>
        <c:tickLblPos val="nextTo"/>
        <c:crossAx val="350997504"/>
        <c:crosses val="autoZero"/>
        <c:crossBetween val="midCat"/>
        <c:majorUnit val="0.5"/>
        <c:minorUnit val="0.1"/>
      </c:valAx>
      <c:valAx>
        <c:axId val="350997504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CDF or Percentile</a:t>
                </a:r>
              </a:p>
            </c:rich>
          </c:tx>
          <c:layout>
            <c:manualLayout>
              <c:xMode val="edge"/>
              <c:yMode val="edge"/>
              <c:x val="1.0148828078640313E-2"/>
              <c:y val="0.256434923538871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350995584"/>
        <c:crosses val="autoZero"/>
        <c:crossBetween val="midCat"/>
        <c:majorUnit val="0.1"/>
      </c:valAx>
    </c:plotArea>
    <c:plotVisOnly val="1"/>
    <c:dispBlanksAs val="gap"/>
    <c:showDLblsOverMax val="0"/>
  </c:chart>
  <c:txPr>
    <a:bodyPr/>
    <a:lstStyle/>
    <a:p>
      <a:pPr>
        <a:defRPr sz="1100" b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43628249000535"/>
          <c:y val="6.7626670123024923E-2"/>
          <c:w val="0.61203672325769409"/>
          <c:h val="0.6769087197433656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4"/>
          </c:marker>
          <c:xVal>
            <c:numRef>
              <c:f>'Ex 9.1'!$U$22:$AD$22</c:f>
              <c:numCache>
                <c:formatCode>General</c:formatCode>
                <c:ptCount val="10"/>
                <c:pt idx="0">
                  <c:v>16.111880677474549</c:v>
                </c:pt>
                <c:pt idx="1">
                  <c:v>12.128010368366747</c:v>
                </c:pt>
                <c:pt idx="2">
                  <c:v>15.031887245147738</c:v>
                </c:pt>
                <c:pt idx="3">
                  <c:v>18.442568077358231</c:v>
                </c:pt>
                <c:pt idx="4">
                  <c:v>12.249246005224164</c:v>
                </c:pt>
                <c:pt idx="5">
                  <c:v>17.683195726271581</c:v>
                </c:pt>
                <c:pt idx="6">
                  <c:v>13.998284433278705</c:v>
                </c:pt>
                <c:pt idx="7">
                  <c:v>13.432415451921264</c:v>
                </c:pt>
                <c:pt idx="8">
                  <c:v>20.411210852453756</c:v>
                </c:pt>
                <c:pt idx="9">
                  <c:v>11.553105184550258</c:v>
                </c:pt>
              </c:numCache>
            </c:numRef>
          </c:xVal>
          <c:yVal>
            <c:numRef>
              <c:f>'Ex 9.1'!$U$24:$AD$24</c:f>
              <c:numCache>
                <c:formatCode>General</c:formatCode>
                <c:ptCount val="10"/>
                <c:pt idx="0">
                  <c:v>8.2727552584046515E-3</c:v>
                </c:pt>
                <c:pt idx="1">
                  <c:v>1.475121833481674E-2</c:v>
                </c:pt>
                <c:pt idx="2">
                  <c:v>6.1509410901723349E-3</c:v>
                </c:pt>
                <c:pt idx="3">
                  <c:v>1.1658467826181296E-2</c:v>
                </c:pt>
                <c:pt idx="4">
                  <c:v>1.4489507051484218E-2</c:v>
                </c:pt>
                <c:pt idx="5">
                  <c:v>9.8395351845004253E-3</c:v>
                </c:pt>
                <c:pt idx="6">
                  <c:v>9.1015086028807257E-3</c:v>
                </c:pt>
                <c:pt idx="7">
                  <c:v>1.4086949987714092E-2</c:v>
                </c:pt>
                <c:pt idx="8">
                  <c:v>1.6041296526818627E-2</c:v>
                </c:pt>
                <c:pt idx="9">
                  <c:v>1.4020319994596298E-2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2780672"/>
        <c:axId val="352782592"/>
      </c:scatterChart>
      <c:valAx>
        <c:axId val="352780672"/>
        <c:scaling>
          <c:orientation val="minMax"/>
          <c:max val="25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sigma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52782592"/>
        <c:crosses val="autoZero"/>
        <c:crossBetween val="midCat"/>
        <c:majorUnit val="5"/>
      </c:valAx>
      <c:valAx>
        <c:axId val="352782592"/>
        <c:scaling>
          <c:orientation val="minMax"/>
          <c:max val="2.5000000000000012E-2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FOM pfail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52780672"/>
        <c:crosses val="autoZero"/>
        <c:crossBetween val="midCat"/>
        <c:majorUnit val="1.0000000000000005E-2"/>
      </c:valAx>
    </c:plotArea>
    <c:plotVisOnly val="1"/>
    <c:dispBlanksAs val="gap"/>
    <c:showDLblsOverMax val="0"/>
  </c:chart>
  <c:txPr>
    <a:bodyPr/>
    <a:lstStyle/>
    <a:p>
      <a:pPr>
        <a:defRPr sz="1200" b="0"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436282490005372"/>
          <c:y val="6.7626670123024923E-2"/>
          <c:w val="0.61203672325769409"/>
          <c:h val="0.6769087197433656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4"/>
          </c:marker>
          <c:xVal>
            <c:numRef>
              <c:f>'Ex 9.1'!$U$21:$AD$21</c:f>
              <c:numCache>
                <c:formatCode>General</c:formatCode>
                <c:ptCount val="10"/>
                <c:pt idx="0">
                  <c:v>43.11223725664577</c:v>
                </c:pt>
                <c:pt idx="1">
                  <c:v>33.180065721472054</c:v>
                </c:pt>
                <c:pt idx="2">
                  <c:v>41.819252401215834</c:v>
                </c:pt>
                <c:pt idx="3">
                  <c:v>47.845213176824586</c:v>
                </c:pt>
                <c:pt idx="4">
                  <c:v>33.694210815443164</c:v>
                </c:pt>
                <c:pt idx="5">
                  <c:v>46.795872252182235</c:v>
                </c:pt>
                <c:pt idx="6">
                  <c:v>38.541606203599081</c:v>
                </c:pt>
                <c:pt idx="7">
                  <c:v>36.520757323387798</c:v>
                </c:pt>
                <c:pt idx="8">
                  <c:v>50.108571907425848</c:v>
                </c:pt>
                <c:pt idx="9">
                  <c:v>32.432369649015087</c:v>
                </c:pt>
              </c:numCache>
            </c:numRef>
          </c:xVal>
          <c:yVal>
            <c:numRef>
              <c:f>'Ex 9.1'!$U$24:$AD$24</c:f>
              <c:numCache>
                <c:formatCode>General</c:formatCode>
                <c:ptCount val="10"/>
                <c:pt idx="0">
                  <c:v>8.2727552584046515E-3</c:v>
                </c:pt>
                <c:pt idx="1">
                  <c:v>1.475121833481674E-2</c:v>
                </c:pt>
                <c:pt idx="2">
                  <c:v>6.1509410901723349E-3</c:v>
                </c:pt>
                <c:pt idx="3">
                  <c:v>1.1658467826181296E-2</c:v>
                </c:pt>
                <c:pt idx="4">
                  <c:v>1.4489507051484218E-2</c:v>
                </c:pt>
                <c:pt idx="5">
                  <c:v>9.8395351845004253E-3</c:v>
                </c:pt>
                <c:pt idx="6">
                  <c:v>9.1015086028807257E-3</c:v>
                </c:pt>
                <c:pt idx="7">
                  <c:v>1.4086949987714092E-2</c:v>
                </c:pt>
                <c:pt idx="8">
                  <c:v>1.6041296526818627E-2</c:v>
                </c:pt>
                <c:pt idx="9">
                  <c:v>1.4020319994596298E-2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2810880"/>
        <c:axId val="352813056"/>
      </c:scatterChart>
      <c:valAx>
        <c:axId val="352810880"/>
        <c:scaling>
          <c:orientation val="minMax"/>
          <c:max val="60"/>
          <c:min val="3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mu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52813056"/>
        <c:crosses val="autoZero"/>
        <c:crossBetween val="midCat"/>
        <c:majorUnit val="10"/>
      </c:valAx>
      <c:valAx>
        <c:axId val="352813056"/>
        <c:scaling>
          <c:orientation val="minMax"/>
          <c:max val="2.5000000000000012E-2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FOM pfail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52810880"/>
        <c:crosses val="autoZero"/>
        <c:crossBetween val="midCat"/>
        <c:majorUnit val="1.0000000000000005E-2"/>
      </c:valAx>
    </c:plotArea>
    <c:plotVisOnly val="1"/>
    <c:dispBlanksAs val="gap"/>
    <c:showDLblsOverMax val="0"/>
  </c:chart>
  <c:txPr>
    <a:bodyPr/>
    <a:lstStyle/>
    <a:p>
      <a:pPr>
        <a:defRPr sz="1200" b="0"/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572457455539039"/>
          <c:y val="6.5492868157201192E-2"/>
          <c:w val="0.77167655756043574"/>
          <c:h val="0.74810110256005047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3"/>
          </c:marker>
          <c:xVal>
            <c:numRef>
              <c:f>'Ex 8.5a'!$L$32:$L$131</c:f>
              <c:numCache>
                <c:formatCode>General</c:formatCode>
                <c:ptCount val="100"/>
                <c:pt idx="0">
                  <c:v>0.42828105173111547</c:v>
                </c:pt>
                <c:pt idx="1">
                  <c:v>0.4032499607517443</c:v>
                </c:pt>
                <c:pt idx="2">
                  <c:v>0.61522259356597908</c:v>
                </c:pt>
                <c:pt idx="3">
                  <c:v>0.46944026242831566</c:v>
                </c:pt>
                <c:pt idx="4">
                  <c:v>0.31094691189813178</c:v>
                </c:pt>
                <c:pt idx="5">
                  <c:v>0.39361873032650063</c:v>
                </c:pt>
                <c:pt idx="6">
                  <c:v>0.48820071747299859</c:v>
                </c:pt>
                <c:pt idx="7">
                  <c:v>0.53296152569467947</c:v>
                </c:pt>
                <c:pt idx="8">
                  <c:v>0.46598197545254211</c:v>
                </c:pt>
                <c:pt idx="9">
                  <c:v>0.59276060626518412</c:v>
                </c:pt>
                <c:pt idx="10">
                  <c:v>0.3700243081505844</c:v>
                </c:pt>
                <c:pt idx="11">
                  <c:v>0.38212490499470708</c:v>
                </c:pt>
                <c:pt idx="12">
                  <c:v>0.39094561778909892</c:v>
                </c:pt>
                <c:pt idx="13">
                  <c:v>0.48304037877438782</c:v>
                </c:pt>
                <c:pt idx="14">
                  <c:v>0.36978554226599447</c:v>
                </c:pt>
                <c:pt idx="15">
                  <c:v>0.2850939304590841</c:v>
                </c:pt>
                <c:pt idx="16">
                  <c:v>0.22477399183042041</c:v>
                </c:pt>
                <c:pt idx="17">
                  <c:v>0.40223304943579952</c:v>
                </c:pt>
                <c:pt idx="18">
                  <c:v>0.66382606246198428</c:v>
                </c:pt>
                <c:pt idx="19">
                  <c:v>0.34773713785584293</c:v>
                </c:pt>
                <c:pt idx="20">
                  <c:v>0.48169782963515945</c:v>
                </c:pt>
                <c:pt idx="21">
                  <c:v>0.63619624519900952</c:v>
                </c:pt>
                <c:pt idx="22">
                  <c:v>0.59687708924883731</c:v>
                </c:pt>
                <c:pt idx="23">
                  <c:v>0.49697242131100394</c:v>
                </c:pt>
                <c:pt idx="24">
                  <c:v>0.51100931008386441</c:v>
                </c:pt>
                <c:pt idx="25">
                  <c:v>0.48295092695148073</c:v>
                </c:pt>
                <c:pt idx="26">
                  <c:v>0.39619311063203883</c:v>
                </c:pt>
                <c:pt idx="27">
                  <c:v>0.60534041369360525</c:v>
                </c:pt>
                <c:pt idx="28">
                  <c:v>0.51668327956960514</c:v>
                </c:pt>
                <c:pt idx="29">
                  <c:v>0.42515135547690791</c:v>
                </c:pt>
                <c:pt idx="30">
                  <c:v>0.30169338689098757</c:v>
                </c:pt>
                <c:pt idx="31">
                  <c:v>0.56220034663181495</c:v>
                </c:pt>
                <c:pt idx="32">
                  <c:v>0.72788729530994822</c:v>
                </c:pt>
                <c:pt idx="33">
                  <c:v>0.60144048292624441</c:v>
                </c:pt>
                <c:pt idx="34">
                  <c:v>0.42159368335948533</c:v>
                </c:pt>
                <c:pt idx="35">
                  <c:v>0.39375157578825387</c:v>
                </c:pt>
                <c:pt idx="36">
                  <c:v>0.38784994199321488</c:v>
                </c:pt>
                <c:pt idx="37">
                  <c:v>0.64958291248965572</c:v>
                </c:pt>
                <c:pt idx="38">
                  <c:v>0.35905564294747738</c:v>
                </c:pt>
                <c:pt idx="39">
                  <c:v>0.51007218178220881</c:v>
                </c:pt>
                <c:pt idx="40">
                  <c:v>0.49125906715271161</c:v>
                </c:pt>
                <c:pt idx="41">
                  <c:v>0.3810000469107277</c:v>
                </c:pt>
                <c:pt idx="42">
                  <c:v>0.44978557406098796</c:v>
                </c:pt>
                <c:pt idx="43">
                  <c:v>0.73572207686911673</c:v>
                </c:pt>
                <c:pt idx="44">
                  <c:v>0.68173403435227908</c:v>
                </c:pt>
                <c:pt idx="45">
                  <c:v>0.57074065962681786</c:v>
                </c:pt>
                <c:pt idx="46">
                  <c:v>0.35656554760630838</c:v>
                </c:pt>
                <c:pt idx="47">
                  <c:v>0.45331199434335195</c:v>
                </c:pt>
                <c:pt idx="48">
                  <c:v>0.45660253286948699</c:v>
                </c:pt>
                <c:pt idx="49">
                  <c:v>0.40517583158394332</c:v>
                </c:pt>
                <c:pt idx="50">
                  <c:v>0.50845081896684718</c:v>
                </c:pt>
                <c:pt idx="51">
                  <c:v>0.46033126631774823</c:v>
                </c:pt>
                <c:pt idx="52">
                  <c:v>0.47679288615640092</c:v>
                </c:pt>
                <c:pt idx="53">
                  <c:v>0.54548474251138379</c:v>
                </c:pt>
                <c:pt idx="54">
                  <c:v>0.67044750160274558</c:v>
                </c:pt>
                <c:pt idx="55">
                  <c:v>0.49389473374553394</c:v>
                </c:pt>
                <c:pt idx="56">
                  <c:v>0.46702751099109685</c:v>
                </c:pt>
                <c:pt idx="57">
                  <c:v>0.59844767515200514</c:v>
                </c:pt>
                <c:pt idx="58">
                  <c:v>0.56206217061989516</c:v>
                </c:pt>
                <c:pt idx="59">
                  <c:v>0.43101746303546479</c:v>
                </c:pt>
                <c:pt idx="60">
                  <c:v>0.36434445443360847</c:v>
                </c:pt>
                <c:pt idx="61">
                  <c:v>0.36165402700594046</c:v>
                </c:pt>
                <c:pt idx="62">
                  <c:v>0.52719223819236061</c:v>
                </c:pt>
                <c:pt idx="63">
                  <c:v>0.56088996525697987</c:v>
                </c:pt>
                <c:pt idx="64">
                  <c:v>0.41151590391188014</c:v>
                </c:pt>
                <c:pt idx="65">
                  <c:v>0.45828737122422242</c:v>
                </c:pt>
                <c:pt idx="66">
                  <c:v>0.78050836171793236</c:v>
                </c:pt>
                <c:pt idx="67">
                  <c:v>0.40135635409337678</c:v>
                </c:pt>
                <c:pt idx="68">
                  <c:v>0.3719597857539369</c:v>
                </c:pt>
                <c:pt idx="69">
                  <c:v>0.39074976870273087</c:v>
                </c:pt>
                <c:pt idx="70">
                  <c:v>0.64516092401064862</c:v>
                </c:pt>
                <c:pt idx="71">
                  <c:v>0.46902350755553585</c:v>
                </c:pt>
                <c:pt idx="72">
                  <c:v>0.49098189435856704</c:v>
                </c:pt>
                <c:pt idx="73">
                  <c:v>0.54350838853121586</c:v>
                </c:pt>
                <c:pt idx="74">
                  <c:v>0.39739846498246012</c:v>
                </c:pt>
                <c:pt idx="75">
                  <c:v>0.42063628156691685</c:v>
                </c:pt>
                <c:pt idx="76">
                  <c:v>0.4493345531331448</c:v>
                </c:pt>
                <c:pt idx="77">
                  <c:v>0.47179705179012843</c:v>
                </c:pt>
                <c:pt idx="78">
                  <c:v>0.63928158403583124</c:v>
                </c:pt>
                <c:pt idx="79">
                  <c:v>0.47781832527016255</c:v>
                </c:pt>
                <c:pt idx="80">
                  <c:v>0.41637526550483689</c:v>
                </c:pt>
                <c:pt idx="81">
                  <c:v>0.37362566834291944</c:v>
                </c:pt>
                <c:pt idx="82">
                  <c:v>0.53086276983625869</c:v>
                </c:pt>
                <c:pt idx="83">
                  <c:v>0.36574164983307134</c:v>
                </c:pt>
                <c:pt idx="84">
                  <c:v>0.35789567992044158</c:v>
                </c:pt>
                <c:pt idx="85">
                  <c:v>0.36168062623599007</c:v>
                </c:pt>
                <c:pt idx="86">
                  <c:v>0.37654740920010793</c:v>
                </c:pt>
                <c:pt idx="87">
                  <c:v>0.39395576881040462</c:v>
                </c:pt>
                <c:pt idx="88">
                  <c:v>0.55664806430660352</c:v>
                </c:pt>
                <c:pt idx="89">
                  <c:v>0.21494097761799463</c:v>
                </c:pt>
                <c:pt idx="90">
                  <c:v>0.52002737852319936</c:v>
                </c:pt>
                <c:pt idx="91">
                  <c:v>0.55003612191862228</c:v>
                </c:pt>
                <c:pt idx="92">
                  <c:v>0.3882695961189494</c:v>
                </c:pt>
                <c:pt idx="93">
                  <c:v>0.64937282123669926</c:v>
                </c:pt>
                <c:pt idx="94">
                  <c:v>0.59271526079205439</c:v>
                </c:pt>
                <c:pt idx="95">
                  <c:v>0.68155128383786112</c:v>
                </c:pt>
                <c:pt idx="96">
                  <c:v>0.76272639170608503</c:v>
                </c:pt>
                <c:pt idx="97">
                  <c:v>0.45042413325920011</c:v>
                </c:pt>
                <c:pt idx="98">
                  <c:v>0.50960067756532834</c:v>
                </c:pt>
                <c:pt idx="99">
                  <c:v>0.25832656900018997</c:v>
                </c:pt>
              </c:numCache>
            </c:numRef>
          </c:xVal>
          <c:yVal>
            <c:numRef>
              <c:f>'Ex 8.5a'!$N$32:$N$131</c:f>
              <c:numCache>
                <c:formatCode>General</c:formatCode>
                <c:ptCount val="100"/>
                <c:pt idx="0">
                  <c:v>0.39541832669322707</c:v>
                </c:pt>
                <c:pt idx="1">
                  <c:v>0.32569721115537847</c:v>
                </c:pt>
                <c:pt idx="2">
                  <c:v>0.86354581673306774</c:v>
                </c:pt>
                <c:pt idx="3">
                  <c:v>0.51494023904382469</c:v>
                </c:pt>
                <c:pt idx="4">
                  <c:v>5.6772908366533863E-2</c:v>
                </c:pt>
                <c:pt idx="5">
                  <c:v>0.25597609561752988</c:v>
                </c:pt>
                <c:pt idx="6">
                  <c:v>0.58466135458167334</c:v>
                </c:pt>
                <c:pt idx="7">
                  <c:v>0.71414342629482075</c:v>
                </c:pt>
                <c:pt idx="8">
                  <c:v>0.48505976095617531</c:v>
                </c:pt>
                <c:pt idx="9">
                  <c:v>0.81374501992031867</c:v>
                </c:pt>
                <c:pt idx="10">
                  <c:v>0.15637450199203184</c:v>
                </c:pt>
                <c:pt idx="11">
                  <c:v>0.20617529880478086</c:v>
                </c:pt>
                <c:pt idx="12">
                  <c:v>0.24601593625498006</c:v>
                </c:pt>
                <c:pt idx="13">
                  <c:v>0.57470119521912355</c:v>
                </c:pt>
                <c:pt idx="14">
                  <c:v>0.14641434262948205</c:v>
                </c:pt>
                <c:pt idx="15">
                  <c:v>3.6852589641434265E-2</c:v>
                </c:pt>
                <c:pt idx="16">
                  <c:v>1.693227091633466E-2</c:v>
                </c:pt>
                <c:pt idx="17">
                  <c:v>0.31573705179282868</c:v>
                </c:pt>
                <c:pt idx="18">
                  <c:v>0.92330677290836649</c:v>
                </c:pt>
                <c:pt idx="19">
                  <c:v>6.6733067729083662E-2</c:v>
                </c:pt>
                <c:pt idx="20">
                  <c:v>0.55478087649402386</c:v>
                </c:pt>
                <c:pt idx="21">
                  <c:v>0.87350597609561753</c:v>
                </c:pt>
                <c:pt idx="22">
                  <c:v>0.82370517928286846</c:v>
                </c:pt>
                <c:pt idx="23">
                  <c:v>0.62450199203187251</c:v>
                </c:pt>
                <c:pt idx="24">
                  <c:v>0.66434262948207168</c:v>
                </c:pt>
                <c:pt idx="25">
                  <c:v>0.56474103585657365</c:v>
                </c:pt>
                <c:pt idx="26">
                  <c:v>0.28585657370517925</c:v>
                </c:pt>
                <c:pt idx="27">
                  <c:v>0.85358565737051795</c:v>
                </c:pt>
                <c:pt idx="28">
                  <c:v>0.67430278884462147</c:v>
                </c:pt>
                <c:pt idx="29">
                  <c:v>0.38545816733067728</c:v>
                </c:pt>
                <c:pt idx="30">
                  <c:v>4.6812749003984064E-2</c:v>
                </c:pt>
                <c:pt idx="31">
                  <c:v>0.78386454183266929</c:v>
                </c:pt>
                <c:pt idx="32">
                  <c:v>0.96314741035856566</c:v>
                </c:pt>
                <c:pt idx="33">
                  <c:v>0.84362549800796816</c:v>
                </c:pt>
                <c:pt idx="34">
                  <c:v>0.37549800796812749</c:v>
                </c:pt>
                <c:pt idx="35">
                  <c:v>0.26593625498007967</c:v>
                </c:pt>
                <c:pt idx="36">
                  <c:v>0.21613545816733065</c:v>
                </c:pt>
                <c:pt idx="37">
                  <c:v>0.9133466135458167</c:v>
                </c:pt>
                <c:pt idx="38">
                  <c:v>9.6613545816733051E-2</c:v>
                </c:pt>
                <c:pt idx="39">
                  <c:v>0.65438247011952189</c:v>
                </c:pt>
                <c:pt idx="40">
                  <c:v>0.60458167330677293</c:v>
                </c:pt>
                <c:pt idx="41">
                  <c:v>0.19621513944223107</c:v>
                </c:pt>
                <c:pt idx="42">
                  <c:v>0.4252988047808765</c:v>
                </c:pt>
                <c:pt idx="43">
                  <c:v>0.97310756972111556</c:v>
                </c:pt>
                <c:pt idx="44">
                  <c:v>0.95318725099601587</c:v>
                </c:pt>
                <c:pt idx="45">
                  <c:v>0.79382470119521908</c:v>
                </c:pt>
                <c:pt idx="46">
                  <c:v>7.6693227091633467E-2</c:v>
                </c:pt>
                <c:pt idx="47">
                  <c:v>0.44521912350597609</c:v>
                </c:pt>
                <c:pt idx="48">
                  <c:v>0.45517928286852588</c:v>
                </c:pt>
                <c:pt idx="49">
                  <c:v>0.33565737051792832</c:v>
                </c:pt>
                <c:pt idx="50">
                  <c:v>0.6344621513944223</c:v>
                </c:pt>
                <c:pt idx="51">
                  <c:v>0.47509960159362552</c:v>
                </c:pt>
                <c:pt idx="52">
                  <c:v>0.53486055776892427</c:v>
                </c:pt>
                <c:pt idx="53">
                  <c:v>0.73406374501992033</c:v>
                </c:pt>
                <c:pt idx="54">
                  <c:v>0.93326693227091628</c:v>
                </c:pt>
                <c:pt idx="55">
                  <c:v>0.61454183266932272</c:v>
                </c:pt>
                <c:pt idx="56">
                  <c:v>0.4950199203187251</c:v>
                </c:pt>
                <c:pt idx="57">
                  <c:v>0.83366533864541825</c:v>
                </c:pt>
                <c:pt idx="58">
                  <c:v>0.7739043824701195</c:v>
                </c:pt>
                <c:pt idx="59">
                  <c:v>0.40537848605577692</c:v>
                </c:pt>
                <c:pt idx="60">
                  <c:v>0.12649402390438247</c:v>
                </c:pt>
                <c:pt idx="61">
                  <c:v>0.10657370517928286</c:v>
                </c:pt>
                <c:pt idx="62">
                  <c:v>0.69422310756972105</c:v>
                </c:pt>
                <c:pt idx="63">
                  <c:v>0.76394422310756971</c:v>
                </c:pt>
                <c:pt idx="64">
                  <c:v>0.34561752988047811</c:v>
                </c:pt>
                <c:pt idx="65">
                  <c:v>0.46513944223107567</c:v>
                </c:pt>
                <c:pt idx="66">
                  <c:v>0.99302788844621515</c:v>
                </c:pt>
                <c:pt idx="67">
                  <c:v>0.30577689243027883</c:v>
                </c:pt>
                <c:pt idx="68">
                  <c:v>0.16633466135458166</c:v>
                </c:pt>
                <c:pt idx="69">
                  <c:v>0.23605577689243026</c:v>
                </c:pt>
                <c:pt idx="70">
                  <c:v>0.89342629482071712</c:v>
                </c:pt>
                <c:pt idx="71">
                  <c:v>0.5049800796812749</c:v>
                </c:pt>
                <c:pt idx="72">
                  <c:v>0.59462151394422313</c:v>
                </c:pt>
                <c:pt idx="73">
                  <c:v>0.72410358565737054</c:v>
                </c:pt>
                <c:pt idx="74">
                  <c:v>0.29581673306772904</c:v>
                </c:pt>
                <c:pt idx="75">
                  <c:v>0.3655378486055777</c:v>
                </c:pt>
                <c:pt idx="76">
                  <c:v>0.41533864541832671</c:v>
                </c:pt>
                <c:pt idx="77">
                  <c:v>0.52490039840637448</c:v>
                </c:pt>
                <c:pt idx="78">
                  <c:v>0.88346613545816732</c:v>
                </c:pt>
                <c:pt idx="79">
                  <c:v>0.54482071713147406</c:v>
                </c:pt>
                <c:pt idx="80">
                  <c:v>0.35557768924302791</c:v>
                </c:pt>
                <c:pt idx="81">
                  <c:v>0.17629482071713146</c:v>
                </c:pt>
                <c:pt idx="82">
                  <c:v>0.70418326693227096</c:v>
                </c:pt>
                <c:pt idx="83">
                  <c:v>0.13645418326693226</c:v>
                </c:pt>
                <c:pt idx="84">
                  <c:v>8.6653386454183259E-2</c:v>
                </c:pt>
                <c:pt idx="85">
                  <c:v>0.11653386454183265</c:v>
                </c:pt>
                <c:pt idx="86">
                  <c:v>0.18625498007968125</c:v>
                </c:pt>
                <c:pt idx="87">
                  <c:v>0.27589641434262946</c:v>
                </c:pt>
                <c:pt idx="88">
                  <c:v>0.75398406374501992</c:v>
                </c:pt>
                <c:pt idx="89">
                  <c:v>6.9721115537848596E-3</c:v>
                </c:pt>
                <c:pt idx="90">
                  <c:v>0.68426294820717126</c:v>
                </c:pt>
                <c:pt idx="91">
                  <c:v>0.74402390438247012</c:v>
                </c:pt>
                <c:pt idx="92">
                  <c:v>0.22609561752988047</c:v>
                </c:pt>
                <c:pt idx="93">
                  <c:v>0.90338645418326691</c:v>
                </c:pt>
                <c:pt idx="94">
                  <c:v>0.80378486055776888</c:v>
                </c:pt>
                <c:pt idx="95">
                  <c:v>0.94322709163346607</c:v>
                </c:pt>
                <c:pt idx="96">
                  <c:v>0.98306772908366535</c:v>
                </c:pt>
                <c:pt idx="97">
                  <c:v>0.4352589641434263</c:v>
                </c:pt>
                <c:pt idx="98">
                  <c:v>0.64442231075697209</c:v>
                </c:pt>
                <c:pt idx="99">
                  <c:v>2.6892430278884463E-2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'Ex 8.5a'!$E$12</c:f>
              <c:strCache>
                <c:ptCount val="1"/>
                <c:pt idx="0">
                  <c:v>UCL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</c:marker>
          <c:xVal>
            <c:numRef>
              <c:f>'Ex 8.5a'!$G$12:$G$14</c:f>
              <c:numCache>
                <c:formatCode>General</c:formatCode>
                <c:ptCount val="3"/>
                <c:pt idx="0">
                  <c:v>0.87485592058320794</c:v>
                </c:pt>
                <c:pt idx="1">
                  <c:v>0.51130789372665519</c:v>
                </c:pt>
                <c:pt idx="2">
                  <c:v>0.36724780933756301</c:v>
                </c:pt>
              </c:numCache>
            </c:numRef>
          </c:xVal>
          <c:yVal>
            <c:numRef>
              <c:f>'Ex 8.5a'!$F$12:$F$14</c:f>
              <c:numCache>
                <c:formatCode>0%</c:formatCode>
                <c:ptCount val="3"/>
                <c:pt idx="0">
                  <c:v>0.95</c:v>
                </c:pt>
                <c:pt idx="1">
                  <c:v>0.5</c:v>
                </c:pt>
                <c:pt idx="2">
                  <c:v>5.0000000000000044E-2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1010176"/>
        <c:axId val="351905280"/>
      </c:scatterChart>
      <c:valAx>
        <c:axId val="351010176"/>
        <c:scaling>
          <c:orientation val="minMax"/>
          <c:max val="1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Stdev</a:t>
                </a:r>
              </a:p>
            </c:rich>
          </c:tx>
          <c:layout>
            <c:manualLayout>
              <c:xMode val="edge"/>
              <c:yMode val="edge"/>
              <c:x val="0.47737839020122486"/>
              <c:y val="0.900787037037037"/>
            </c:manualLayout>
          </c:layout>
          <c:overlay val="0"/>
        </c:title>
        <c:numFmt formatCode="General" sourceLinked="1"/>
        <c:majorTickMark val="cross"/>
        <c:minorTickMark val="out"/>
        <c:tickLblPos val="nextTo"/>
        <c:crossAx val="351905280"/>
        <c:crosses val="autoZero"/>
        <c:crossBetween val="midCat"/>
        <c:majorUnit val="0.2"/>
        <c:minorUnit val="0.1"/>
      </c:valAx>
      <c:valAx>
        <c:axId val="351905280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CDF or Percentile</a:t>
                </a:r>
              </a:p>
            </c:rich>
          </c:tx>
          <c:layout>
            <c:manualLayout>
              <c:xMode val="edge"/>
              <c:yMode val="edge"/>
              <c:x val="1.0148828078640313E-2"/>
              <c:y val="0.256434923538871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351010176"/>
        <c:crosses val="autoZero"/>
        <c:crossBetween val="midCat"/>
        <c:majorUnit val="0.1"/>
      </c:valAx>
    </c:plotArea>
    <c:plotVisOnly val="1"/>
    <c:dispBlanksAs val="gap"/>
    <c:showDLblsOverMax val="0"/>
  </c:chart>
  <c:txPr>
    <a:bodyPr/>
    <a:lstStyle/>
    <a:p>
      <a:pPr>
        <a:defRPr sz="1100" b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776110129002421"/>
          <c:y val="5.8611840788650539E-2"/>
          <c:w val="0.76052777530035698"/>
          <c:h val="0.7645606780932331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4"/>
          </c:marker>
          <c:xVal>
            <c:numRef>
              <c:f>'Ex 8.5a'!$K$32:$K$131</c:f>
              <c:numCache>
                <c:formatCode>General</c:formatCode>
                <c:ptCount val="100"/>
                <c:pt idx="0">
                  <c:v>2.1202464769747893</c:v>
                </c:pt>
                <c:pt idx="1">
                  <c:v>2.0136478524679742</c:v>
                </c:pt>
                <c:pt idx="2">
                  <c:v>2.1912349900133248</c:v>
                </c:pt>
                <c:pt idx="3">
                  <c:v>2.0971643950235084</c:v>
                </c:pt>
                <c:pt idx="4">
                  <c:v>2.0196939019907854</c:v>
                </c:pt>
                <c:pt idx="5">
                  <c:v>2.0334891737620153</c:v>
                </c:pt>
                <c:pt idx="6">
                  <c:v>2.2766035473091426</c:v>
                </c:pt>
                <c:pt idx="7">
                  <c:v>2.2374386823977539</c:v>
                </c:pt>
                <c:pt idx="8">
                  <c:v>2.3176377627146554</c:v>
                </c:pt>
                <c:pt idx="9">
                  <c:v>2.0888753086655272</c:v>
                </c:pt>
                <c:pt idx="10">
                  <c:v>2.2793040029000555</c:v>
                </c:pt>
                <c:pt idx="11">
                  <c:v>2.0841727676045174</c:v>
                </c:pt>
                <c:pt idx="12">
                  <c:v>2.1348027880446518</c:v>
                </c:pt>
                <c:pt idx="13">
                  <c:v>2.4257334810095479</c:v>
                </c:pt>
                <c:pt idx="14">
                  <c:v>1.9410481631494361</c:v>
                </c:pt>
                <c:pt idx="15">
                  <c:v>2.1589879392024804</c:v>
                </c:pt>
                <c:pt idx="16">
                  <c:v>2.209104607416613</c:v>
                </c:pt>
                <c:pt idx="17">
                  <c:v>2.1769422674200647</c:v>
                </c:pt>
                <c:pt idx="18">
                  <c:v>1.8791579077954077</c:v>
                </c:pt>
                <c:pt idx="19">
                  <c:v>2.2846577317109173</c:v>
                </c:pt>
                <c:pt idx="20">
                  <c:v>2.1434738644769342</c:v>
                </c:pt>
                <c:pt idx="21">
                  <c:v>2.0931260160185801</c:v>
                </c:pt>
                <c:pt idx="22">
                  <c:v>2.1589468222117745</c:v>
                </c:pt>
                <c:pt idx="23">
                  <c:v>2.1576293441060459</c:v>
                </c:pt>
                <c:pt idx="24">
                  <c:v>2.147503770476793</c:v>
                </c:pt>
                <c:pt idx="25">
                  <c:v>1.7699972152676431</c:v>
                </c:pt>
                <c:pt idx="26">
                  <c:v>2.3781552879588501</c:v>
                </c:pt>
                <c:pt idx="27">
                  <c:v>2.0355214692236614</c:v>
                </c:pt>
                <c:pt idx="28">
                  <c:v>2.1670707074348625</c:v>
                </c:pt>
                <c:pt idx="29">
                  <c:v>2.1833567831867722</c:v>
                </c:pt>
                <c:pt idx="30">
                  <c:v>2.0195943600568849</c:v>
                </c:pt>
                <c:pt idx="31">
                  <c:v>2.030431251917427</c:v>
                </c:pt>
                <c:pt idx="32">
                  <c:v>1.817696141984162</c:v>
                </c:pt>
                <c:pt idx="33">
                  <c:v>1.9842194632638233</c:v>
                </c:pt>
                <c:pt idx="34">
                  <c:v>2.0860714839420971</c:v>
                </c:pt>
                <c:pt idx="35">
                  <c:v>2.0697254202637279</c:v>
                </c:pt>
                <c:pt idx="36">
                  <c:v>2.063782332856626</c:v>
                </c:pt>
                <c:pt idx="37">
                  <c:v>1.9451623402410858</c:v>
                </c:pt>
                <c:pt idx="38">
                  <c:v>2.0865377752320047</c:v>
                </c:pt>
                <c:pt idx="39">
                  <c:v>2.0929757646016585</c:v>
                </c:pt>
                <c:pt idx="40">
                  <c:v>2.2340726536919351</c:v>
                </c:pt>
                <c:pt idx="41">
                  <c:v>2.0416507527438359</c:v>
                </c:pt>
                <c:pt idx="42">
                  <c:v>2.1210212193312294</c:v>
                </c:pt>
                <c:pt idx="43">
                  <c:v>1.7870816647119834</c:v>
                </c:pt>
                <c:pt idx="44">
                  <c:v>2.1551932696214604</c:v>
                </c:pt>
                <c:pt idx="45">
                  <c:v>1.9721096742661592</c:v>
                </c:pt>
                <c:pt idx="46">
                  <c:v>2.1145459259526129</c:v>
                </c:pt>
                <c:pt idx="47">
                  <c:v>1.9952631231101681</c:v>
                </c:pt>
                <c:pt idx="48">
                  <c:v>1.8730602870999951</c:v>
                </c:pt>
                <c:pt idx="49">
                  <c:v>2.1419992465051276</c:v>
                </c:pt>
                <c:pt idx="50">
                  <c:v>1.9537687070271328</c:v>
                </c:pt>
                <c:pt idx="51">
                  <c:v>2.0601907459848081</c:v>
                </c:pt>
                <c:pt idx="52">
                  <c:v>2.2375365872304904</c:v>
                </c:pt>
                <c:pt idx="53">
                  <c:v>2.1086903347532515</c:v>
                </c:pt>
                <c:pt idx="54">
                  <c:v>1.956783541786955</c:v>
                </c:pt>
                <c:pt idx="55">
                  <c:v>1.7691156481684744</c:v>
                </c:pt>
                <c:pt idx="56">
                  <c:v>2.1878395840658182</c:v>
                </c:pt>
                <c:pt idx="57">
                  <c:v>2.0114538414282617</c:v>
                </c:pt>
                <c:pt idx="58">
                  <c:v>2.1643625739234125</c:v>
                </c:pt>
                <c:pt idx="59">
                  <c:v>2.3062971392390228</c:v>
                </c:pt>
                <c:pt idx="60">
                  <c:v>2.0882314401909281</c:v>
                </c:pt>
                <c:pt idx="61">
                  <c:v>2.1241517867442918</c:v>
                </c:pt>
                <c:pt idx="62">
                  <c:v>2.0925483561551679</c:v>
                </c:pt>
                <c:pt idx="63">
                  <c:v>2.2779787910789016</c:v>
                </c:pt>
                <c:pt idx="64">
                  <c:v>2.0208981341669112</c:v>
                </c:pt>
                <c:pt idx="65">
                  <c:v>2.0095035222356725</c:v>
                </c:pt>
                <c:pt idx="66">
                  <c:v>2.2098935376728113</c:v>
                </c:pt>
                <c:pt idx="67">
                  <c:v>2.0174363060572511</c:v>
                </c:pt>
                <c:pt idx="68">
                  <c:v>1.9823972138849912</c:v>
                </c:pt>
                <c:pt idx="69">
                  <c:v>1.9713492576365188</c:v>
                </c:pt>
                <c:pt idx="70">
                  <c:v>2.1892043865095827</c:v>
                </c:pt>
                <c:pt idx="71">
                  <c:v>2.1047082856086727</c:v>
                </c:pt>
                <c:pt idx="72">
                  <c:v>2.1386335492105006</c:v>
                </c:pt>
                <c:pt idx="73">
                  <c:v>2.0275397754229854</c:v>
                </c:pt>
                <c:pt idx="74">
                  <c:v>2.0133648400703286</c:v>
                </c:pt>
                <c:pt idx="75">
                  <c:v>1.823176892304871</c:v>
                </c:pt>
                <c:pt idx="76">
                  <c:v>2.1033630311551743</c:v>
                </c:pt>
                <c:pt idx="77">
                  <c:v>2.2677454030361037</c:v>
                </c:pt>
                <c:pt idx="78">
                  <c:v>2.2913986744051789</c:v>
                </c:pt>
                <c:pt idx="79">
                  <c:v>2.1932539459184057</c:v>
                </c:pt>
                <c:pt idx="80">
                  <c:v>1.809516491834086</c:v>
                </c:pt>
                <c:pt idx="81">
                  <c:v>2.0576631362696514</c:v>
                </c:pt>
                <c:pt idx="82">
                  <c:v>1.9301024734754901</c:v>
                </c:pt>
                <c:pt idx="83">
                  <c:v>2.0624908328873364</c:v>
                </c:pt>
                <c:pt idx="84">
                  <c:v>1.9982882159828759</c:v>
                </c:pt>
                <c:pt idx="85">
                  <c:v>2.2234710943760976</c:v>
                </c:pt>
                <c:pt idx="86">
                  <c:v>1.8139927406102467</c:v>
                </c:pt>
                <c:pt idx="87">
                  <c:v>2.2308159124944673</c:v>
                </c:pt>
                <c:pt idx="88">
                  <c:v>1.9644950344899965</c:v>
                </c:pt>
                <c:pt idx="89">
                  <c:v>2.1314812708111992</c:v>
                </c:pt>
                <c:pt idx="90">
                  <c:v>1.9749314136010103</c:v>
                </c:pt>
                <c:pt idx="91">
                  <c:v>1.9732974100993381</c:v>
                </c:pt>
                <c:pt idx="92">
                  <c:v>1.9789147153054099</c:v>
                </c:pt>
                <c:pt idx="93">
                  <c:v>2.3449536928419268</c:v>
                </c:pt>
                <c:pt idx="94">
                  <c:v>2.1195989641878001</c:v>
                </c:pt>
                <c:pt idx="95">
                  <c:v>2.0779883351470945</c:v>
                </c:pt>
                <c:pt idx="96">
                  <c:v>1.7563760886197524</c:v>
                </c:pt>
                <c:pt idx="97">
                  <c:v>2.2080087934732711</c:v>
                </c:pt>
                <c:pt idx="98">
                  <c:v>2.1357143019961473</c:v>
                </c:pt>
                <c:pt idx="99">
                  <c:v>2.1533501981154917</c:v>
                </c:pt>
              </c:numCache>
            </c:numRef>
          </c:xVal>
          <c:yVal>
            <c:numRef>
              <c:f>'Ex 8.5a'!$L$32:$L$131</c:f>
              <c:numCache>
                <c:formatCode>General</c:formatCode>
                <c:ptCount val="100"/>
                <c:pt idx="0">
                  <c:v>0.42828105173111547</c:v>
                </c:pt>
                <c:pt idx="1">
                  <c:v>0.4032499607517443</c:v>
                </c:pt>
                <c:pt idx="2">
                  <c:v>0.61522259356597908</c:v>
                </c:pt>
                <c:pt idx="3">
                  <c:v>0.46944026242831566</c:v>
                </c:pt>
                <c:pt idx="4">
                  <c:v>0.31094691189813178</c:v>
                </c:pt>
                <c:pt idx="5">
                  <c:v>0.39361873032650063</c:v>
                </c:pt>
                <c:pt idx="6">
                  <c:v>0.48820071747299859</c:v>
                </c:pt>
                <c:pt idx="7">
                  <c:v>0.53296152569467947</c:v>
                </c:pt>
                <c:pt idx="8">
                  <c:v>0.46598197545254211</c:v>
                </c:pt>
                <c:pt idx="9">
                  <c:v>0.59276060626518412</c:v>
                </c:pt>
                <c:pt idx="10">
                  <c:v>0.3700243081505844</c:v>
                </c:pt>
                <c:pt idx="11">
                  <c:v>0.38212490499470708</c:v>
                </c:pt>
                <c:pt idx="12">
                  <c:v>0.39094561778909892</c:v>
                </c:pt>
                <c:pt idx="13">
                  <c:v>0.48304037877438782</c:v>
                </c:pt>
                <c:pt idx="14">
                  <c:v>0.36978554226599447</c:v>
                </c:pt>
                <c:pt idx="15">
                  <c:v>0.2850939304590841</c:v>
                </c:pt>
                <c:pt idx="16">
                  <c:v>0.22477399183042041</c:v>
                </c:pt>
                <c:pt idx="17">
                  <c:v>0.40223304943579952</c:v>
                </c:pt>
                <c:pt idx="18">
                  <c:v>0.66382606246198428</c:v>
                </c:pt>
                <c:pt idx="19">
                  <c:v>0.34773713785584293</c:v>
                </c:pt>
                <c:pt idx="20">
                  <c:v>0.48169782963515945</c:v>
                </c:pt>
                <c:pt idx="21">
                  <c:v>0.63619624519900952</c:v>
                </c:pt>
                <c:pt idx="22">
                  <c:v>0.59687708924883731</c:v>
                </c:pt>
                <c:pt idx="23">
                  <c:v>0.49697242131100394</c:v>
                </c:pt>
                <c:pt idx="24">
                  <c:v>0.51100931008386441</c:v>
                </c:pt>
                <c:pt idx="25">
                  <c:v>0.48295092695148073</c:v>
                </c:pt>
                <c:pt idx="26">
                  <c:v>0.39619311063203883</c:v>
                </c:pt>
                <c:pt idx="27">
                  <c:v>0.60534041369360525</c:v>
                </c:pt>
                <c:pt idx="28">
                  <c:v>0.51668327956960514</c:v>
                </c:pt>
                <c:pt idx="29">
                  <c:v>0.42515135547690791</c:v>
                </c:pt>
                <c:pt idx="30">
                  <c:v>0.30169338689098757</c:v>
                </c:pt>
                <c:pt idx="31">
                  <c:v>0.56220034663181495</c:v>
                </c:pt>
                <c:pt idx="32">
                  <c:v>0.72788729530994822</c:v>
                </c:pt>
                <c:pt idx="33">
                  <c:v>0.60144048292624441</c:v>
                </c:pt>
                <c:pt idx="34">
                  <c:v>0.42159368335948533</c:v>
                </c:pt>
                <c:pt idx="35">
                  <c:v>0.39375157578825387</c:v>
                </c:pt>
                <c:pt idx="36">
                  <c:v>0.38784994199321488</c:v>
                </c:pt>
                <c:pt idx="37">
                  <c:v>0.64958291248965572</c:v>
                </c:pt>
                <c:pt idx="38">
                  <c:v>0.35905564294747738</c:v>
                </c:pt>
                <c:pt idx="39">
                  <c:v>0.51007218178220881</c:v>
                </c:pt>
                <c:pt idx="40">
                  <c:v>0.49125906715271161</c:v>
                </c:pt>
                <c:pt idx="41">
                  <c:v>0.3810000469107277</c:v>
                </c:pt>
                <c:pt idx="42">
                  <c:v>0.44978557406098796</c:v>
                </c:pt>
                <c:pt idx="43">
                  <c:v>0.73572207686911673</c:v>
                </c:pt>
                <c:pt idx="44">
                  <c:v>0.68173403435227908</c:v>
                </c:pt>
                <c:pt idx="45">
                  <c:v>0.57074065962681786</c:v>
                </c:pt>
                <c:pt idx="46">
                  <c:v>0.35656554760630838</c:v>
                </c:pt>
                <c:pt idx="47">
                  <c:v>0.45331199434335195</c:v>
                </c:pt>
                <c:pt idx="48">
                  <c:v>0.45660253286948699</c:v>
                </c:pt>
                <c:pt idx="49">
                  <c:v>0.40517583158394332</c:v>
                </c:pt>
                <c:pt idx="50">
                  <c:v>0.50845081896684718</c:v>
                </c:pt>
                <c:pt idx="51">
                  <c:v>0.46033126631774823</c:v>
                </c:pt>
                <c:pt idx="52">
                  <c:v>0.47679288615640092</c:v>
                </c:pt>
                <c:pt idx="53">
                  <c:v>0.54548474251138379</c:v>
                </c:pt>
                <c:pt idx="54">
                  <c:v>0.67044750160274558</c:v>
                </c:pt>
                <c:pt idx="55">
                  <c:v>0.49389473374553394</c:v>
                </c:pt>
                <c:pt idx="56">
                  <c:v>0.46702751099109685</c:v>
                </c:pt>
                <c:pt idx="57">
                  <c:v>0.59844767515200514</c:v>
                </c:pt>
                <c:pt idx="58">
                  <c:v>0.56206217061989516</c:v>
                </c:pt>
                <c:pt idx="59">
                  <c:v>0.43101746303546479</c:v>
                </c:pt>
                <c:pt idx="60">
                  <c:v>0.36434445443360847</c:v>
                </c:pt>
                <c:pt idx="61">
                  <c:v>0.36165402700594046</c:v>
                </c:pt>
                <c:pt idx="62">
                  <c:v>0.52719223819236061</c:v>
                </c:pt>
                <c:pt idx="63">
                  <c:v>0.56088996525697987</c:v>
                </c:pt>
                <c:pt idx="64">
                  <c:v>0.41151590391188014</c:v>
                </c:pt>
                <c:pt idx="65">
                  <c:v>0.45828737122422242</c:v>
                </c:pt>
                <c:pt idx="66">
                  <c:v>0.78050836171793236</c:v>
                </c:pt>
                <c:pt idx="67">
                  <c:v>0.40135635409337678</c:v>
                </c:pt>
                <c:pt idx="68">
                  <c:v>0.3719597857539369</c:v>
                </c:pt>
                <c:pt idx="69">
                  <c:v>0.39074976870273087</c:v>
                </c:pt>
                <c:pt idx="70">
                  <c:v>0.64516092401064862</c:v>
                </c:pt>
                <c:pt idx="71">
                  <c:v>0.46902350755553585</c:v>
                </c:pt>
                <c:pt idx="72">
                  <c:v>0.49098189435856704</c:v>
                </c:pt>
                <c:pt idx="73">
                  <c:v>0.54350838853121586</c:v>
                </c:pt>
                <c:pt idx="74">
                  <c:v>0.39739846498246012</c:v>
                </c:pt>
                <c:pt idx="75">
                  <c:v>0.42063628156691685</c:v>
                </c:pt>
                <c:pt idx="76">
                  <c:v>0.4493345531331448</c:v>
                </c:pt>
                <c:pt idx="77">
                  <c:v>0.47179705179012843</c:v>
                </c:pt>
                <c:pt idx="78">
                  <c:v>0.63928158403583124</c:v>
                </c:pt>
                <c:pt idx="79">
                  <c:v>0.47781832527016255</c:v>
                </c:pt>
                <c:pt idx="80">
                  <c:v>0.41637526550483689</c:v>
                </c:pt>
                <c:pt idx="81">
                  <c:v>0.37362566834291944</c:v>
                </c:pt>
                <c:pt idx="82">
                  <c:v>0.53086276983625869</c:v>
                </c:pt>
                <c:pt idx="83">
                  <c:v>0.36574164983307134</c:v>
                </c:pt>
                <c:pt idx="84">
                  <c:v>0.35789567992044158</c:v>
                </c:pt>
                <c:pt idx="85">
                  <c:v>0.36168062623599007</c:v>
                </c:pt>
                <c:pt idx="86">
                  <c:v>0.37654740920010793</c:v>
                </c:pt>
                <c:pt idx="87">
                  <c:v>0.39395576881040462</c:v>
                </c:pt>
                <c:pt idx="88">
                  <c:v>0.55664806430660352</c:v>
                </c:pt>
                <c:pt idx="89">
                  <c:v>0.21494097761799463</c:v>
                </c:pt>
                <c:pt idx="90">
                  <c:v>0.52002737852319936</c:v>
                </c:pt>
                <c:pt idx="91">
                  <c:v>0.55003612191862228</c:v>
                </c:pt>
                <c:pt idx="92">
                  <c:v>0.3882695961189494</c:v>
                </c:pt>
                <c:pt idx="93">
                  <c:v>0.64937282123669926</c:v>
                </c:pt>
                <c:pt idx="94">
                  <c:v>0.59271526079205439</c:v>
                </c:pt>
                <c:pt idx="95">
                  <c:v>0.68155128383786112</c:v>
                </c:pt>
                <c:pt idx="96">
                  <c:v>0.76272639170608503</c:v>
                </c:pt>
                <c:pt idx="97">
                  <c:v>0.45042413325920011</c:v>
                </c:pt>
                <c:pt idx="98">
                  <c:v>0.50960067756532834</c:v>
                </c:pt>
                <c:pt idx="99">
                  <c:v>0.25832656900018997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1925376"/>
        <c:axId val="351927296"/>
      </c:scatterChart>
      <c:valAx>
        <c:axId val="351925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Mean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51927296"/>
        <c:crosses val="autoZero"/>
        <c:crossBetween val="midCat"/>
      </c:valAx>
      <c:valAx>
        <c:axId val="3519272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Standard Deviation</a:t>
                </a:r>
              </a:p>
            </c:rich>
          </c:tx>
          <c:layout>
            <c:manualLayout>
              <c:xMode val="edge"/>
              <c:yMode val="edge"/>
              <c:x val="1.5002341901009351E-2"/>
              <c:y val="0.2414174688742410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351925376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100" b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'Ex 8.5b'!$L$7</c:f>
              <c:strCache>
                <c:ptCount val="1"/>
                <c:pt idx="0">
                  <c:v>fit x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'Ex 8.5b'!$L$8:$L$36</c:f>
              <c:numCache>
                <c:formatCode>General</c:formatCode>
                <c:ptCount val="29"/>
                <c:pt idx="0">
                  <c:v>-3.5849523910033474</c:v>
                </c:pt>
                <c:pt idx="1">
                  <c:v>-3.3358444786237111</c:v>
                </c:pt>
                <c:pt idx="2">
                  <c:v>-3.0867365662440753</c:v>
                </c:pt>
                <c:pt idx="3">
                  <c:v>-2.8376286538644395</c:v>
                </c:pt>
                <c:pt idx="4">
                  <c:v>-2.5885207414848037</c:v>
                </c:pt>
                <c:pt idx="5">
                  <c:v>-2.3394128291051679</c:v>
                </c:pt>
                <c:pt idx="6">
                  <c:v>-2.0903049167255321</c:v>
                </c:pt>
                <c:pt idx="7">
                  <c:v>-1.8411970043458961</c:v>
                </c:pt>
                <c:pt idx="8">
                  <c:v>-1.59208909196626</c:v>
                </c:pt>
                <c:pt idx="9">
                  <c:v>-1.3429811795866242</c:v>
                </c:pt>
                <c:pt idx="10">
                  <c:v>-1.0938732672069884</c:v>
                </c:pt>
                <c:pt idx="11">
                  <c:v>-0.84476535482735238</c:v>
                </c:pt>
                <c:pt idx="12">
                  <c:v>-0.59565744244771657</c:v>
                </c:pt>
                <c:pt idx="13">
                  <c:v>-0.34654953006808065</c:v>
                </c:pt>
                <c:pt idx="14">
                  <c:v>-9.7441617688444754E-2</c:v>
                </c:pt>
                <c:pt idx="15">
                  <c:v>0.15166629469119114</c:v>
                </c:pt>
                <c:pt idx="16">
                  <c:v>0.400774207070827</c:v>
                </c:pt>
                <c:pt idx="17">
                  <c:v>0.64988211945046293</c:v>
                </c:pt>
                <c:pt idx="18">
                  <c:v>0.89899003183009885</c:v>
                </c:pt>
                <c:pt idx="19">
                  <c:v>1.1480979442097348</c:v>
                </c:pt>
                <c:pt idx="20">
                  <c:v>1.3972058565893706</c:v>
                </c:pt>
                <c:pt idx="21">
                  <c:v>1.6463137689690066</c:v>
                </c:pt>
                <c:pt idx="22">
                  <c:v>1.8954216813486424</c:v>
                </c:pt>
                <c:pt idx="23">
                  <c:v>2.1445295937282784</c:v>
                </c:pt>
                <c:pt idx="24">
                  <c:v>2.3936375061079143</c:v>
                </c:pt>
                <c:pt idx="25">
                  <c:v>2.6427454184875501</c:v>
                </c:pt>
                <c:pt idx="26">
                  <c:v>2.8918533308671859</c:v>
                </c:pt>
                <c:pt idx="27">
                  <c:v>3.1409612432468217</c:v>
                </c:pt>
                <c:pt idx="28">
                  <c:v>3.3900691556264579</c:v>
                </c:pt>
              </c:numCache>
            </c:numRef>
          </c:xVal>
          <c:yVal>
            <c:numRef>
              <c:f>'Ex 8.5b'!$I$8:$I$36</c:f>
              <c:numCache>
                <c:formatCode>General</c:formatCode>
                <c:ptCount val="29"/>
                <c:pt idx="0">
                  <c:v>-3.5</c:v>
                </c:pt>
                <c:pt idx="1">
                  <c:v>-3.25</c:v>
                </c:pt>
                <c:pt idx="2">
                  <c:v>-3</c:v>
                </c:pt>
                <c:pt idx="3">
                  <c:v>-2.75</c:v>
                </c:pt>
                <c:pt idx="4">
                  <c:v>-2.5</c:v>
                </c:pt>
                <c:pt idx="5">
                  <c:v>-2.25</c:v>
                </c:pt>
                <c:pt idx="6">
                  <c:v>-2</c:v>
                </c:pt>
                <c:pt idx="7">
                  <c:v>-1.75</c:v>
                </c:pt>
                <c:pt idx="8">
                  <c:v>-1.5</c:v>
                </c:pt>
                <c:pt idx="9">
                  <c:v>-1.25</c:v>
                </c:pt>
                <c:pt idx="10">
                  <c:v>-1</c:v>
                </c:pt>
                <c:pt idx="11">
                  <c:v>-0.75</c:v>
                </c:pt>
                <c:pt idx="12">
                  <c:v>-0.5</c:v>
                </c:pt>
                <c:pt idx="13">
                  <c:v>-0.25</c:v>
                </c:pt>
                <c:pt idx="14">
                  <c:v>0</c:v>
                </c:pt>
                <c:pt idx="15">
                  <c:v>0.25</c:v>
                </c:pt>
                <c:pt idx="16">
                  <c:v>0.5</c:v>
                </c:pt>
                <c:pt idx="17">
                  <c:v>0.75</c:v>
                </c:pt>
                <c:pt idx="18">
                  <c:v>1</c:v>
                </c:pt>
                <c:pt idx="19">
                  <c:v>1.25</c:v>
                </c:pt>
                <c:pt idx="20">
                  <c:v>1.5</c:v>
                </c:pt>
                <c:pt idx="21">
                  <c:v>1.75</c:v>
                </c:pt>
                <c:pt idx="22">
                  <c:v>2</c:v>
                </c:pt>
                <c:pt idx="23">
                  <c:v>2.25</c:v>
                </c:pt>
                <c:pt idx="24">
                  <c:v>2.5</c:v>
                </c:pt>
                <c:pt idx="25">
                  <c:v>2.75</c:v>
                </c:pt>
                <c:pt idx="26">
                  <c:v>3</c:v>
                </c:pt>
                <c:pt idx="27">
                  <c:v>3.25</c:v>
                </c:pt>
                <c:pt idx="28">
                  <c:v>3.5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'Ex 8.5b'!$K$7</c:f>
              <c:strCache>
                <c:ptCount val="1"/>
                <c:pt idx="0">
                  <c:v>LCL x</c:v>
                </c:pt>
              </c:strCache>
            </c:strRef>
          </c:tx>
          <c:spPr>
            <a:ln w="25400"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'Ex 8.5b'!$K$8:$K$36</c:f>
              <c:numCache>
                <c:formatCode>General</c:formatCode>
                <c:ptCount val="29"/>
                <c:pt idx="0">
                  <c:v>-4.5615581387543651</c:v>
                </c:pt>
                <c:pt idx="1">
                  <c:v>-4.2528373969753979</c:v>
                </c:pt>
                <c:pt idx="2">
                  <c:v>-3.9448478207176425</c:v>
                </c:pt>
                <c:pt idx="3">
                  <c:v>-3.6377508475208149</c:v>
                </c:pt>
                <c:pt idx="4">
                  <c:v>-3.3317554362407855</c:v>
                </c:pt>
                <c:pt idx="5">
                  <c:v>-3.0271350006081517</c:v>
                </c:pt>
                <c:pt idx="6">
                  <c:v>-2.7242508496289437</c:v>
                </c:pt>
                <c:pt idx="7">
                  <c:v>-2.4235841552112038</c:v>
                </c:pt>
                <c:pt idx="8">
                  <c:v>-2.1257779789795457</c:v>
                </c:pt>
                <c:pt idx="9">
                  <c:v>-1.8316881978810047</c:v>
                </c:pt>
                <c:pt idx="10">
                  <c:v>-1.5424342533829196</c:v>
                </c:pt>
                <c:pt idx="11">
                  <c:v>-1.2594231099559638</c:v>
                </c:pt>
                <c:pt idx="12">
                  <c:v>-0.98429202201792232</c:v>
                </c:pt>
                <c:pt idx="13">
                  <c:v>-0.71869776124398888</c:v>
                </c:pt>
                <c:pt idx="14">
                  <c:v>-0.46392962905749269</c:v>
                </c:pt>
                <c:pt idx="15">
                  <c:v>-0.22048193648471703</c:v>
                </c:pt>
                <c:pt idx="16">
                  <c:v>1.2139627500621308E-2</c:v>
                </c:pt>
                <c:pt idx="17">
                  <c:v>0.23522436432185151</c:v>
                </c:pt>
                <c:pt idx="18">
                  <c:v>0.45042904565416769</c:v>
                </c:pt>
                <c:pt idx="19">
                  <c:v>0.65939092591535431</c:v>
                </c:pt>
                <c:pt idx="20">
                  <c:v>0.86351696957608504</c:v>
                </c:pt>
                <c:pt idx="21">
                  <c:v>1.063926618103699</c:v>
                </c:pt>
                <c:pt idx="22">
                  <c:v>1.2614757484452306</c:v>
                </c:pt>
                <c:pt idx="23">
                  <c:v>1.4568074222252947</c:v>
                </c:pt>
                <c:pt idx="24">
                  <c:v>1.6504028113519325</c:v>
                </c:pt>
                <c:pt idx="25">
                  <c:v>1.8426232248311745</c:v>
                </c:pt>
                <c:pt idx="26">
                  <c:v>2.0337420763936187</c:v>
                </c:pt>
                <c:pt idx="27">
                  <c:v>2.2239683248951345</c:v>
                </c:pt>
                <c:pt idx="28">
                  <c:v>2.4134634078754407</c:v>
                </c:pt>
              </c:numCache>
            </c:numRef>
          </c:xVal>
          <c:yVal>
            <c:numRef>
              <c:f>'Ex 8.5b'!$I$8:$I$36</c:f>
              <c:numCache>
                <c:formatCode>General</c:formatCode>
                <c:ptCount val="29"/>
                <c:pt idx="0">
                  <c:v>-3.5</c:v>
                </c:pt>
                <c:pt idx="1">
                  <c:v>-3.25</c:v>
                </c:pt>
                <c:pt idx="2">
                  <c:v>-3</c:v>
                </c:pt>
                <c:pt idx="3">
                  <c:v>-2.75</c:v>
                </c:pt>
                <c:pt idx="4">
                  <c:v>-2.5</c:v>
                </c:pt>
                <c:pt idx="5">
                  <c:v>-2.25</c:v>
                </c:pt>
                <c:pt idx="6">
                  <c:v>-2</c:v>
                </c:pt>
                <c:pt idx="7">
                  <c:v>-1.75</c:v>
                </c:pt>
                <c:pt idx="8">
                  <c:v>-1.5</c:v>
                </c:pt>
                <c:pt idx="9">
                  <c:v>-1.25</c:v>
                </c:pt>
                <c:pt idx="10">
                  <c:v>-1</c:v>
                </c:pt>
                <c:pt idx="11">
                  <c:v>-0.75</c:v>
                </c:pt>
                <c:pt idx="12">
                  <c:v>-0.5</c:v>
                </c:pt>
                <c:pt idx="13">
                  <c:v>-0.25</c:v>
                </c:pt>
                <c:pt idx="14">
                  <c:v>0</c:v>
                </c:pt>
                <c:pt idx="15">
                  <c:v>0.25</c:v>
                </c:pt>
                <c:pt idx="16">
                  <c:v>0.5</c:v>
                </c:pt>
                <c:pt idx="17">
                  <c:v>0.75</c:v>
                </c:pt>
                <c:pt idx="18">
                  <c:v>1</c:v>
                </c:pt>
                <c:pt idx="19">
                  <c:v>1.25</c:v>
                </c:pt>
                <c:pt idx="20">
                  <c:v>1.5</c:v>
                </c:pt>
                <c:pt idx="21">
                  <c:v>1.75</c:v>
                </c:pt>
                <c:pt idx="22">
                  <c:v>2</c:v>
                </c:pt>
                <c:pt idx="23">
                  <c:v>2.25</c:v>
                </c:pt>
                <c:pt idx="24">
                  <c:v>2.5</c:v>
                </c:pt>
                <c:pt idx="25">
                  <c:v>2.75</c:v>
                </c:pt>
                <c:pt idx="26">
                  <c:v>3</c:v>
                </c:pt>
                <c:pt idx="27">
                  <c:v>3.25</c:v>
                </c:pt>
                <c:pt idx="28">
                  <c:v>3.5</c:v>
                </c:pt>
              </c:numCache>
            </c:numRef>
          </c:yVal>
          <c:smooth val="0"/>
        </c:ser>
        <c:ser>
          <c:idx val="4"/>
          <c:order val="2"/>
          <c:tx>
            <c:strRef>
              <c:f>'Ex 8.5b'!$M$7</c:f>
              <c:strCache>
                <c:ptCount val="1"/>
                <c:pt idx="0">
                  <c:v>UCL x</c:v>
                </c:pt>
              </c:strCache>
            </c:strRef>
          </c:tx>
          <c:spPr>
            <a:ln w="25400">
              <a:solidFill>
                <a:srgbClr val="C0504D"/>
              </a:solidFill>
            </a:ln>
          </c:spPr>
          <c:marker>
            <c:symbol val="none"/>
          </c:marker>
          <c:xVal>
            <c:numRef>
              <c:f>'Ex 8.5b'!$M$8:$M$36</c:f>
              <c:numCache>
                <c:formatCode>General</c:formatCode>
                <c:ptCount val="29"/>
                <c:pt idx="0">
                  <c:v>-2.6083466432523301</c:v>
                </c:pt>
                <c:pt idx="1">
                  <c:v>-2.418851560272024</c:v>
                </c:pt>
                <c:pt idx="2">
                  <c:v>-2.2286253117705082</c:v>
                </c:pt>
                <c:pt idx="3">
                  <c:v>-2.0375064602080641</c:v>
                </c:pt>
                <c:pt idx="4">
                  <c:v>-1.8452860467288219</c:v>
                </c:pt>
                <c:pt idx="5">
                  <c:v>-1.6516906576021841</c:v>
                </c:pt>
                <c:pt idx="6">
                  <c:v>-1.4563589838221203</c:v>
                </c:pt>
                <c:pt idx="7">
                  <c:v>-1.2588098534805885</c:v>
                </c:pt>
                <c:pt idx="8">
                  <c:v>-1.0584002049529744</c:v>
                </c:pt>
                <c:pt idx="9">
                  <c:v>-0.85427416129224376</c:v>
                </c:pt>
                <c:pt idx="10">
                  <c:v>-0.6453122810310572</c:v>
                </c:pt>
                <c:pt idx="11">
                  <c:v>-0.43010759969874096</c:v>
                </c:pt>
                <c:pt idx="12">
                  <c:v>-0.20702286287751087</c:v>
                </c:pt>
                <c:pt idx="13">
                  <c:v>2.5598701107827526E-2</c:v>
                </c:pt>
                <c:pt idx="14">
                  <c:v>0.26904639368060324</c:v>
                </c:pt>
                <c:pt idx="15">
                  <c:v>0.52381452586709931</c:v>
                </c:pt>
                <c:pt idx="16">
                  <c:v>0.78940878664103264</c:v>
                </c:pt>
                <c:pt idx="17">
                  <c:v>1.0645398745790744</c:v>
                </c:pt>
                <c:pt idx="18">
                  <c:v>1.3475510180060299</c:v>
                </c:pt>
                <c:pt idx="19">
                  <c:v>1.6368049625041152</c:v>
                </c:pt>
                <c:pt idx="20">
                  <c:v>1.9308947436026562</c:v>
                </c:pt>
                <c:pt idx="21">
                  <c:v>2.2287009198343144</c:v>
                </c:pt>
                <c:pt idx="22">
                  <c:v>2.5293676142520543</c:v>
                </c:pt>
                <c:pt idx="23">
                  <c:v>2.8322517652312622</c:v>
                </c:pt>
                <c:pt idx="24">
                  <c:v>3.1368722008638961</c:v>
                </c:pt>
                <c:pt idx="25">
                  <c:v>3.4428676121439254</c:v>
                </c:pt>
                <c:pt idx="26">
                  <c:v>3.7499645853407531</c:v>
                </c:pt>
                <c:pt idx="27">
                  <c:v>4.0579541615985093</c:v>
                </c:pt>
                <c:pt idx="28">
                  <c:v>4.3666749033774757</c:v>
                </c:pt>
              </c:numCache>
            </c:numRef>
          </c:xVal>
          <c:yVal>
            <c:numRef>
              <c:f>'Ex 8.5b'!$I$8:$I$36</c:f>
              <c:numCache>
                <c:formatCode>General</c:formatCode>
                <c:ptCount val="29"/>
                <c:pt idx="0">
                  <c:v>-3.5</c:v>
                </c:pt>
                <c:pt idx="1">
                  <c:v>-3.25</c:v>
                </c:pt>
                <c:pt idx="2">
                  <c:v>-3</c:v>
                </c:pt>
                <c:pt idx="3">
                  <c:v>-2.75</c:v>
                </c:pt>
                <c:pt idx="4">
                  <c:v>-2.5</c:v>
                </c:pt>
                <c:pt idx="5">
                  <c:v>-2.25</c:v>
                </c:pt>
                <c:pt idx="6">
                  <c:v>-2</c:v>
                </c:pt>
                <c:pt idx="7">
                  <c:v>-1.75</c:v>
                </c:pt>
                <c:pt idx="8">
                  <c:v>-1.5</c:v>
                </c:pt>
                <c:pt idx="9">
                  <c:v>-1.25</c:v>
                </c:pt>
                <c:pt idx="10">
                  <c:v>-1</c:v>
                </c:pt>
                <c:pt idx="11">
                  <c:v>-0.75</c:v>
                </c:pt>
                <c:pt idx="12">
                  <c:v>-0.5</c:v>
                </c:pt>
                <c:pt idx="13">
                  <c:v>-0.25</c:v>
                </c:pt>
                <c:pt idx="14">
                  <c:v>0</c:v>
                </c:pt>
                <c:pt idx="15">
                  <c:v>0.25</c:v>
                </c:pt>
                <c:pt idx="16">
                  <c:v>0.5</c:v>
                </c:pt>
                <c:pt idx="17">
                  <c:v>0.75</c:v>
                </c:pt>
                <c:pt idx="18">
                  <c:v>1</c:v>
                </c:pt>
                <c:pt idx="19">
                  <c:v>1.25</c:v>
                </c:pt>
                <c:pt idx="20">
                  <c:v>1.5</c:v>
                </c:pt>
                <c:pt idx="21">
                  <c:v>1.75</c:v>
                </c:pt>
                <c:pt idx="22">
                  <c:v>2</c:v>
                </c:pt>
                <c:pt idx="23">
                  <c:v>2.25</c:v>
                </c:pt>
                <c:pt idx="24">
                  <c:v>2.5</c:v>
                </c:pt>
                <c:pt idx="25">
                  <c:v>2.75</c:v>
                </c:pt>
                <c:pt idx="26">
                  <c:v>3</c:v>
                </c:pt>
                <c:pt idx="27">
                  <c:v>3.25</c:v>
                </c:pt>
                <c:pt idx="28">
                  <c:v>3.5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'Ex 8.5b'!$J$7</c:f>
              <c:strCache>
                <c:ptCount val="1"/>
                <c:pt idx="0">
                  <c:v>calc x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'Ex 8.5b'!$J$8:$J$36</c:f>
              <c:numCache>
                <c:formatCode>General</c:formatCode>
                <c:ptCount val="29"/>
                <c:pt idx="0">
                  <c:v>-3.5</c:v>
                </c:pt>
                <c:pt idx="1">
                  <c:v>-3.25</c:v>
                </c:pt>
                <c:pt idx="2">
                  <c:v>-3</c:v>
                </c:pt>
                <c:pt idx="3">
                  <c:v>-2.75</c:v>
                </c:pt>
                <c:pt idx="4">
                  <c:v>-2.5</c:v>
                </c:pt>
                <c:pt idx="5">
                  <c:v>-2.25</c:v>
                </c:pt>
                <c:pt idx="6">
                  <c:v>-2</c:v>
                </c:pt>
                <c:pt idx="7">
                  <c:v>-1.75</c:v>
                </c:pt>
                <c:pt idx="8">
                  <c:v>-1.5</c:v>
                </c:pt>
                <c:pt idx="9">
                  <c:v>-1.25</c:v>
                </c:pt>
                <c:pt idx="10">
                  <c:v>-1</c:v>
                </c:pt>
                <c:pt idx="11">
                  <c:v>-0.75</c:v>
                </c:pt>
                <c:pt idx="12">
                  <c:v>-0.5</c:v>
                </c:pt>
                <c:pt idx="13">
                  <c:v>-0.25</c:v>
                </c:pt>
                <c:pt idx="14">
                  <c:v>0</c:v>
                </c:pt>
                <c:pt idx="15">
                  <c:v>0.25</c:v>
                </c:pt>
                <c:pt idx="16">
                  <c:v>0.5</c:v>
                </c:pt>
                <c:pt idx="17">
                  <c:v>0.75</c:v>
                </c:pt>
                <c:pt idx="18">
                  <c:v>1</c:v>
                </c:pt>
                <c:pt idx="19">
                  <c:v>1.25</c:v>
                </c:pt>
                <c:pt idx="20">
                  <c:v>1.5</c:v>
                </c:pt>
                <c:pt idx="21">
                  <c:v>1.75</c:v>
                </c:pt>
                <c:pt idx="22">
                  <c:v>2</c:v>
                </c:pt>
                <c:pt idx="23">
                  <c:v>2.25</c:v>
                </c:pt>
                <c:pt idx="24">
                  <c:v>2.5</c:v>
                </c:pt>
                <c:pt idx="25">
                  <c:v>2.75</c:v>
                </c:pt>
                <c:pt idx="26">
                  <c:v>3</c:v>
                </c:pt>
                <c:pt idx="27">
                  <c:v>3.25</c:v>
                </c:pt>
                <c:pt idx="28">
                  <c:v>3.5</c:v>
                </c:pt>
              </c:numCache>
            </c:numRef>
          </c:xVal>
          <c:yVal>
            <c:numRef>
              <c:f>'Ex 8.5b'!$I$8:$I$36</c:f>
              <c:numCache>
                <c:formatCode>General</c:formatCode>
                <c:ptCount val="29"/>
                <c:pt idx="0">
                  <c:v>-3.5</c:v>
                </c:pt>
                <c:pt idx="1">
                  <c:v>-3.25</c:v>
                </c:pt>
                <c:pt idx="2">
                  <c:v>-3</c:v>
                </c:pt>
                <c:pt idx="3">
                  <c:v>-2.75</c:v>
                </c:pt>
                <c:pt idx="4">
                  <c:v>-2.5</c:v>
                </c:pt>
                <c:pt idx="5">
                  <c:v>-2.25</c:v>
                </c:pt>
                <c:pt idx="6">
                  <c:v>-2</c:v>
                </c:pt>
                <c:pt idx="7">
                  <c:v>-1.75</c:v>
                </c:pt>
                <c:pt idx="8">
                  <c:v>-1.5</c:v>
                </c:pt>
                <c:pt idx="9">
                  <c:v>-1.25</c:v>
                </c:pt>
                <c:pt idx="10">
                  <c:v>-1</c:v>
                </c:pt>
                <c:pt idx="11">
                  <c:v>-0.75</c:v>
                </c:pt>
                <c:pt idx="12">
                  <c:v>-0.5</c:v>
                </c:pt>
                <c:pt idx="13">
                  <c:v>-0.25</c:v>
                </c:pt>
                <c:pt idx="14">
                  <c:v>0</c:v>
                </c:pt>
                <c:pt idx="15">
                  <c:v>0.25</c:v>
                </c:pt>
                <c:pt idx="16">
                  <c:v>0.5</c:v>
                </c:pt>
                <c:pt idx="17">
                  <c:v>0.75</c:v>
                </c:pt>
                <c:pt idx="18">
                  <c:v>1</c:v>
                </c:pt>
                <c:pt idx="19">
                  <c:v>1.25</c:v>
                </c:pt>
                <c:pt idx="20">
                  <c:v>1.5</c:v>
                </c:pt>
                <c:pt idx="21">
                  <c:v>1.75</c:v>
                </c:pt>
                <c:pt idx="22">
                  <c:v>2</c:v>
                </c:pt>
                <c:pt idx="23">
                  <c:v>2.25</c:v>
                </c:pt>
                <c:pt idx="24">
                  <c:v>2.5</c:v>
                </c:pt>
                <c:pt idx="25">
                  <c:v>2.75</c:v>
                </c:pt>
                <c:pt idx="26">
                  <c:v>3</c:v>
                </c:pt>
                <c:pt idx="27">
                  <c:v>3.25</c:v>
                </c:pt>
                <c:pt idx="28">
                  <c:v>3.5</c:v>
                </c:pt>
              </c:numCache>
            </c:numRef>
          </c:yVal>
          <c:smooth val="0"/>
        </c:ser>
        <c:ser>
          <c:idx val="0"/>
          <c:order val="4"/>
          <c:tx>
            <c:strRef>
              <c:f>'Ex 8.5b'!$D$27</c:f>
              <c:strCache>
                <c:ptCount val="1"/>
                <c:pt idx="0">
                  <c:v>Probit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3"/>
          </c:marker>
          <c:xVal>
            <c:numRef>
              <c:f>'Ex 8.5b'!$C$28:$C$47</c:f>
              <c:numCache>
                <c:formatCode>General</c:formatCode>
                <c:ptCount val="20"/>
                <c:pt idx="0">
                  <c:v>-1.0596635606551186</c:v>
                </c:pt>
                <c:pt idx="1">
                  <c:v>-0.42962496205848133</c:v>
                </c:pt>
                <c:pt idx="2">
                  <c:v>0.52563435958022886</c:v>
                </c:pt>
                <c:pt idx="3">
                  <c:v>0.10476606569023401</c:v>
                </c:pt>
                <c:pt idx="4">
                  <c:v>0.19603632814619518</c:v>
                </c:pt>
                <c:pt idx="5">
                  <c:v>-1.7839600944834333</c:v>
                </c:pt>
                <c:pt idx="6">
                  <c:v>-0.1884291592459757</c:v>
                </c:pt>
                <c:pt idx="7">
                  <c:v>-1.6437087785161089</c:v>
                </c:pt>
                <c:pt idx="8">
                  <c:v>1.8934367284931621E-2</c:v>
                </c:pt>
                <c:pt idx="9">
                  <c:v>2.1380249455206757</c:v>
                </c:pt>
                <c:pt idx="10">
                  <c:v>-1.5152377083329789</c:v>
                </c:pt>
                <c:pt idx="11">
                  <c:v>0.51112416159390028</c:v>
                </c:pt>
                <c:pt idx="12">
                  <c:v>-0.61283699324134033</c:v>
                </c:pt>
                <c:pt idx="13">
                  <c:v>0.68211907281909734</c:v>
                </c:pt>
                <c:pt idx="14">
                  <c:v>-6.8595765227459318E-2</c:v>
                </c:pt>
                <c:pt idx="15">
                  <c:v>0.33157102701032271</c:v>
                </c:pt>
                <c:pt idx="16">
                  <c:v>1.032151718516807</c:v>
                </c:pt>
                <c:pt idx="17">
                  <c:v>0.52424722496645104</c:v>
                </c:pt>
                <c:pt idx="18">
                  <c:v>0.59933991488850824</c:v>
                </c:pt>
                <c:pt idx="19">
                  <c:v>-1.3107245180253502</c:v>
                </c:pt>
              </c:numCache>
            </c:numRef>
          </c:xVal>
          <c:yVal>
            <c:numRef>
              <c:f>'Ex 8.5b'!$D$28:$D$47</c:f>
              <c:numCache>
                <c:formatCode>General</c:formatCode>
                <c:ptCount val="20"/>
                <c:pt idx="0">
                  <c:v>-0.73755597988205279</c:v>
                </c:pt>
                <c:pt idx="1">
                  <c:v>-0.44424875676134479</c:v>
                </c:pt>
                <c:pt idx="2">
                  <c:v>0.73755597988205235</c:v>
                </c:pt>
                <c:pt idx="3">
                  <c:v>6.1475667639406824E-2</c:v>
                </c:pt>
                <c:pt idx="4">
                  <c:v>0.18536701728959662</c:v>
                </c:pt>
                <c:pt idx="5">
                  <c:v>-1.8208645376396548</c:v>
                </c:pt>
                <c:pt idx="6">
                  <c:v>-0.3121823291636498</c:v>
                </c:pt>
                <c:pt idx="7">
                  <c:v>-1.3829941271006372</c:v>
                </c:pt>
                <c:pt idx="8">
                  <c:v>-6.1475667639406824E-2</c:v>
                </c:pt>
                <c:pt idx="9">
                  <c:v>1.8208645376396548</c:v>
                </c:pt>
                <c:pt idx="10">
                  <c:v>-1.1153373577337857</c:v>
                </c:pt>
                <c:pt idx="11">
                  <c:v>0.44424875676134512</c:v>
                </c:pt>
                <c:pt idx="12">
                  <c:v>-0.58458985705947353</c:v>
                </c:pt>
                <c:pt idx="13">
                  <c:v>1.1153373577337866</c:v>
                </c:pt>
                <c:pt idx="14">
                  <c:v>-0.18536701728959676</c:v>
                </c:pt>
                <c:pt idx="15">
                  <c:v>0.31218232916364996</c:v>
                </c:pt>
                <c:pt idx="16">
                  <c:v>1.3829941271006405</c:v>
                </c:pt>
                <c:pt idx="17">
                  <c:v>0.58458985705947353</c:v>
                </c:pt>
                <c:pt idx="18">
                  <c:v>0.91014679640886487</c:v>
                </c:pt>
                <c:pt idx="19">
                  <c:v>-0.91014679640886487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2088064"/>
        <c:axId val="352089984"/>
      </c:scatterChart>
      <c:valAx>
        <c:axId val="352088064"/>
        <c:scaling>
          <c:orientation val="minMax"/>
          <c:max val="6"/>
          <c:min val="-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7528531873602525"/>
              <c:y val="0.907610231472567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352089984"/>
        <c:crosses val="autoZero"/>
        <c:crossBetween val="midCat"/>
      </c:valAx>
      <c:valAx>
        <c:axId val="352089984"/>
        <c:scaling>
          <c:orientation val="minMax"/>
          <c:max val="3"/>
          <c:min val="-3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Probit</a:t>
                </a:r>
              </a:p>
            </c:rich>
          </c:tx>
          <c:layout>
            <c:manualLayout>
              <c:xMode val="edge"/>
              <c:yMode val="edge"/>
              <c:x val="1.4763778383364004E-2"/>
              <c:y val="0.3915537898941324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352088064"/>
        <c:crosses val="autoZero"/>
        <c:crossBetween val="midCat"/>
        <c:majorUnit val="1"/>
      </c:valAx>
    </c:plotArea>
    <c:plotVisOnly val="1"/>
    <c:dispBlanksAs val="gap"/>
    <c:showDLblsOverMax val="0"/>
  </c:chart>
  <c:txPr>
    <a:bodyPr/>
    <a:lstStyle/>
    <a:p>
      <a:pPr>
        <a:defRPr sz="1200" b="0"/>
      </a:pPr>
      <a:endParaRPr lang="en-US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Data and Weibull Fit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5189129483814612"/>
          <c:y val="0.17218759113444151"/>
          <c:w val="0.6577075329352009"/>
          <c:h val="0.70649278215222788"/>
        </c:manualLayout>
      </c:layout>
      <c:scatterChart>
        <c:scatterStyle val="lineMarker"/>
        <c:varyColors val="0"/>
        <c:ser>
          <c:idx val="0"/>
          <c:order val="0"/>
          <c:tx>
            <c:strRef>
              <c:f>'Ex 8.6'!$H$13</c:f>
              <c:strCache>
                <c:ptCount val="1"/>
                <c:pt idx="0">
                  <c:v>Model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6"/>
          </c:marker>
          <c:xVal>
            <c:numRef>
              <c:f>'Ex 8.6'!$B$15:$B$20</c:f>
              <c:numCache>
                <c:formatCode>General</c:formatCode>
                <c:ptCount val="6"/>
                <c:pt idx="0">
                  <c:v>1</c:v>
                </c:pt>
                <c:pt idx="1">
                  <c:v>6</c:v>
                </c:pt>
                <c:pt idx="2">
                  <c:v>48</c:v>
                </c:pt>
                <c:pt idx="3">
                  <c:v>168</c:v>
                </c:pt>
                <c:pt idx="4">
                  <c:v>500</c:v>
                </c:pt>
                <c:pt idx="5">
                  <c:v>1000</c:v>
                </c:pt>
              </c:numCache>
            </c:numRef>
          </c:xVal>
          <c:yVal>
            <c:numRef>
              <c:f>'Ex 8.6'!$H$15:$H$20</c:f>
              <c:numCache>
                <c:formatCode>General</c:formatCode>
                <c:ptCount val="6"/>
                <c:pt idx="0">
                  <c:v>-10.532117285299339</c:v>
                </c:pt>
                <c:pt idx="1">
                  <c:v>-8.0236540283821665</c:v>
                </c:pt>
                <c:pt idx="2">
                  <c:v>-5.1124358700302803</c:v>
                </c:pt>
                <c:pt idx="3">
                  <c:v>-3.3585677141367554</c:v>
                </c:pt>
                <c:pt idx="4">
                  <c:v>-1.8316659475102499</c:v>
                </c:pt>
                <c:pt idx="5">
                  <c:v>-0.8612598947263268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'Ex 8.6'!$G$13</c:f>
              <c:strCache>
                <c:ptCount val="1"/>
                <c:pt idx="0">
                  <c:v>Data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</c:marker>
          <c:xVal>
            <c:numRef>
              <c:f>'Ex 8.6'!$B$15:$B$20</c:f>
              <c:numCache>
                <c:formatCode>General</c:formatCode>
                <c:ptCount val="6"/>
                <c:pt idx="0">
                  <c:v>1</c:v>
                </c:pt>
                <c:pt idx="1">
                  <c:v>6</c:v>
                </c:pt>
                <c:pt idx="2">
                  <c:v>48</c:v>
                </c:pt>
                <c:pt idx="3">
                  <c:v>168</c:v>
                </c:pt>
                <c:pt idx="4">
                  <c:v>500</c:v>
                </c:pt>
                <c:pt idx="5">
                  <c:v>1000</c:v>
                </c:pt>
              </c:numCache>
            </c:numRef>
          </c:xVal>
          <c:yVal>
            <c:numRef>
              <c:f>'Ex 8.6'!$G$15:$G$20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-5.0072926642935922</c:v>
                </c:pt>
                <c:pt idx="3">
                  <c:v>-2.7826325333778006</c:v>
                </c:pt>
                <c:pt idx="4">
                  <c:v>-1.4814013015900904</c:v>
                </c:pt>
                <c:pt idx="5">
                  <c:v>-0.62867401227398279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2144384"/>
        <c:axId val="352146560"/>
      </c:scatterChart>
      <c:valAx>
        <c:axId val="352144384"/>
        <c:scaling>
          <c:logBase val="10"/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(hours)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out"/>
        <c:tickLblPos val="nextTo"/>
        <c:crossAx val="352146560"/>
        <c:crosses val="autoZero"/>
        <c:crossBetween val="midCat"/>
      </c:valAx>
      <c:valAx>
        <c:axId val="3521465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Weibit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5214438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1200" b="0"/>
      </a:pPr>
      <a:endParaRPr lang="en-US"/>
    </a:p>
  </c:tx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518738525474403E-2"/>
          <c:y val="5.0926036643520134E-2"/>
          <c:w val="0.61194758987852982"/>
          <c:h val="0.82899913810338743"/>
        </c:manualLayout>
      </c:layout>
      <c:surfaceChart>
        <c:wireframe val="1"/>
        <c:ser>
          <c:idx val="0"/>
          <c:order val="0"/>
          <c:tx>
            <c:strRef>
              <c:f>'Ex 8.6'!$B$33</c:f>
              <c:strCache>
                <c:ptCount val="1"/>
                <c:pt idx="0">
                  <c:v>1450</c:v>
                </c:pt>
              </c:strCache>
            </c:strRef>
          </c:tx>
          <c:cat>
            <c:numRef>
              <c:f>'Ex 8.6'!$C$32:$H$32</c:f>
              <c:numCache>
                <c:formatCode>General</c:formatCode>
                <c:ptCount val="6"/>
                <c:pt idx="0">
                  <c:v>1.1499999999999999</c:v>
                </c:pt>
                <c:pt idx="1">
                  <c:v>1.2</c:v>
                </c:pt>
                <c:pt idx="2">
                  <c:v>1.25</c:v>
                </c:pt>
                <c:pt idx="3">
                  <c:v>1.3</c:v>
                </c:pt>
                <c:pt idx="4">
                  <c:v>1.35</c:v>
                </c:pt>
                <c:pt idx="5">
                  <c:v>1.4</c:v>
                </c:pt>
              </c:numCache>
            </c:numRef>
          </c:cat>
          <c:val>
            <c:numRef>
              <c:f>'Ex 8.6'!$C$33:$H$33</c:f>
              <c:numCache>
                <c:formatCode>General</c:formatCode>
                <c:ptCount val="6"/>
                <c:pt idx="0">
                  <c:v>-336.92004912117562</c:v>
                </c:pt>
                <c:pt idx="1">
                  <c:v>-335.90802355294039</c:v>
                </c:pt>
                <c:pt idx="2">
                  <c:v>-335.20842433635272</c:v>
                </c:pt>
                <c:pt idx="3">
                  <c:v>-334.79806027282507</c:v>
                </c:pt>
                <c:pt idx="4">
                  <c:v>-334.65617612289776</c:v>
                </c:pt>
                <c:pt idx="5">
                  <c:v>-334.764121192066</c:v>
                </c:pt>
              </c:numCache>
            </c:numRef>
          </c:val>
        </c:ser>
        <c:ser>
          <c:idx val="1"/>
          <c:order val="1"/>
          <c:tx>
            <c:strRef>
              <c:f>'Ex 8.6'!$B$34</c:f>
              <c:strCache>
                <c:ptCount val="1"/>
                <c:pt idx="0">
                  <c:v>1550</c:v>
                </c:pt>
              </c:strCache>
            </c:strRef>
          </c:tx>
          <c:cat>
            <c:numRef>
              <c:f>'Ex 8.6'!$C$32:$H$32</c:f>
              <c:numCache>
                <c:formatCode>General</c:formatCode>
                <c:ptCount val="6"/>
                <c:pt idx="0">
                  <c:v>1.1499999999999999</c:v>
                </c:pt>
                <c:pt idx="1">
                  <c:v>1.2</c:v>
                </c:pt>
                <c:pt idx="2">
                  <c:v>1.25</c:v>
                </c:pt>
                <c:pt idx="3">
                  <c:v>1.3</c:v>
                </c:pt>
                <c:pt idx="4">
                  <c:v>1.35</c:v>
                </c:pt>
                <c:pt idx="5">
                  <c:v>1.4</c:v>
                </c:pt>
              </c:numCache>
            </c:numRef>
          </c:cat>
          <c:val>
            <c:numRef>
              <c:f>'Ex 8.6'!$C$34:$H$34</c:f>
              <c:numCache>
                <c:formatCode>General</c:formatCode>
                <c:ptCount val="6"/>
                <c:pt idx="0">
                  <c:v>-335.15135911249502</c:v>
                </c:pt>
                <c:pt idx="1">
                  <c:v>-334.35713399814563</c:v>
                </c:pt>
                <c:pt idx="2">
                  <c:v>-333.88933304338559</c:v>
                </c:pt>
                <c:pt idx="3">
                  <c:v>-333.72409169098273</c:v>
                </c:pt>
                <c:pt idx="4">
                  <c:v>-333.84002367844062</c:v>
                </c:pt>
                <c:pt idx="5">
                  <c:v>-334.2178856807501</c:v>
                </c:pt>
              </c:numCache>
            </c:numRef>
          </c:val>
        </c:ser>
        <c:ser>
          <c:idx val="2"/>
          <c:order val="2"/>
          <c:tx>
            <c:strRef>
              <c:f>'Ex 8.6'!$B$35</c:f>
              <c:strCache>
                <c:ptCount val="1"/>
                <c:pt idx="0">
                  <c:v>1650</c:v>
                </c:pt>
              </c:strCache>
            </c:strRef>
          </c:tx>
          <c:cat>
            <c:numRef>
              <c:f>'Ex 8.6'!$C$32:$H$32</c:f>
              <c:numCache>
                <c:formatCode>General</c:formatCode>
                <c:ptCount val="6"/>
                <c:pt idx="0">
                  <c:v>1.1499999999999999</c:v>
                </c:pt>
                <c:pt idx="1">
                  <c:v>1.2</c:v>
                </c:pt>
                <c:pt idx="2">
                  <c:v>1.25</c:v>
                </c:pt>
                <c:pt idx="3">
                  <c:v>1.3</c:v>
                </c:pt>
                <c:pt idx="4">
                  <c:v>1.35</c:v>
                </c:pt>
                <c:pt idx="5">
                  <c:v>1.4</c:v>
                </c:pt>
              </c:numCache>
            </c:numRef>
          </c:cat>
          <c:val>
            <c:numRef>
              <c:f>'Ex 8.6'!$C$35:$H$35</c:f>
              <c:numCache>
                <c:formatCode>General</c:formatCode>
                <c:ptCount val="6"/>
                <c:pt idx="0">
                  <c:v>-334.24698104088384</c:v>
                </c:pt>
                <c:pt idx="1">
                  <c:v>-333.70200557856361</c:v>
                </c:pt>
                <c:pt idx="2">
                  <c:v>-333.49655190066221</c:v>
                </c:pt>
                <c:pt idx="3">
                  <c:v>-333.60605424389576</c:v>
                </c:pt>
                <c:pt idx="4">
                  <c:v>-334.00846970909259</c:v>
                </c:pt>
                <c:pt idx="5">
                  <c:v>-334.68393887389027</c:v>
                </c:pt>
              </c:numCache>
            </c:numRef>
          </c:val>
        </c:ser>
        <c:ser>
          <c:idx val="3"/>
          <c:order val="3"/>
          <c:tx>
            <c:strRef>
              <c:f>'Ex 8.6'!$B$36</c:f>
              <c:strCache>
                <c:ptCount val="1"/>
                <c:pt idx="0">
                  <c:v>1750</c:v>
                </c:pt>
              </c:strCache>
            </c:strRef>
          </c:tx>
          <c:cat>
            <c:numRef>
              <c:f>'Ex 8.6'!$C$32:$H$32</c:f>
              <c:numCache>
                <c:formatCode>General</c:formatCode>
                <c:ptCount val="6"/>
                <c:pt idx="0">
                  <c:v>1.1499999999999999</c:v>
                </c:pt>
                <c:pt idx="1">
                  <c:v>1.2</c:v>
                </c:pt>
                <c:pt idx="2">
                  <c:v>1.25</c:v>
                </c:pt>
                <c:pt idx="3">
                  <c:v>1.3</c:v>
                </c:pt>
                <c:pt idx="4">
                  <c:v>1.35</c:v>
                </c:pt>
                <c:pt idx="5">
                  <c:v>1.4</c:v>
                </c:pt>
              </c:numCache>
            </c:numRef>
          </c:cat>
          <c:val>
            <c:numRef>
              <c:f>'Ex 8.6'!$C$36:$H$36</c:f>
              <c:numCache>
                <c:formatCode>General</c:formatCode>
                <c:ptCount val="6"/>
                <c:pt idx="0">
                  <c:v>-334.01613578397757</c:v>
                </c:pt>
                <c:pt idx="1">
                  <c:v>-333.74080350370042</c:v>
                </c:pt>
                <c:pt idx="2">
                  <c:v>-333.81707674259366</c:v>
                </c:pt>
                <c:pt idx="3">
                  <c:v>-334.21967385948824</c:v>
                </c:pt>
                <c:pt idx="4">
                  <c:v>-334.92588268193663</c:v>
                </c:pt>
                <c:pt idx="5">
                  <c:v>-335.9152169905804</c:v>
                </c:pt>
              </c:numCache>
            </c:numRef>
          </c:val>
        </c:ser>
        <c:ser>
          <c:idx val="4"/>
          <c:order val="4"/>
          <c:tx>
            <c:strRef>
              <c:f>'Ex 8.6'!$B$37</c:f>
              <c:strCache>
                <c:ptCount val="1"/>
                <c:pt idx="0">
                  <c:v>1850</c:v>
                </c:pt>
              </c:strCache>
            </c:strRef>
          </c:tx>
          <c:cat>
            <c:numRef>
              <c:f>'Ex 8.6'!$C$32:$H$32</c:f>
              <c:numCache>
                <c:formatCode>General</c:formatCode>
                <c:ptCount val="6"/>
                <c:pt idx="0">
                  <c:v>1.1499999999999999</c:v>
                </c:pt>
                <c:pt idx="1">
                  <c:v>1.2</c:v>
                </c:pt>
                <c:pt idx="2">
                  <c:v>1.25</c:v>
                </c:pt>
                <c:pt idx="3">
                  <c:v>1.3</c:v>
                </c:pt>
                <c:pt idx="4">
                  <c:v>1.35</c:v>
                </c:pt>
                <c:pt idx="5">
                  <c:v>1.4</c:v>
                </c:pt>
              </c:numCache>
            </c:numRef>
          </c:cat>
          <c:val>
            <c:numRef>
              <c:f>'Ex 8.6'!$C$37:$H$37</c:f>
              <c:numCache>
                <c:formatCode>General</c:formatCode>
                <c:ptCount val="6"/>
                <c:pt idx="0">
                  <c:v>-334.31447596260517</c:v>
                </c:pt>
                <c:pt idx="1">
                  <c:v>-334.32139925442902</c:v>
                </c:pt>
                <c:pt idx="2">
                  <c:v>-334.69097368760089</c:v>
                </c:pt>
                <c:pt idx="3">
                  <c:v>-335.39719774916421</c:v>
                </c:pt>
                <c:pt idx="4">
                  <c:v>-336.41668776248741</c:v>
                </c:pt>
                <c:pt idx="5">
                  <c:v>-337.72833013928107</c:v>
                </c:pt>
              </c:numCache>
            </c:numRef>
          </c:val>
        </c:ser>
        <c:bandFmts/>
        <c:axId val="352169344"/>
        <c:axId val="352212096"/>
        <c:axId val="352175872"/>
      </c:surfaceChart>
      <c:catAx>
        <c:axId val="352169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52212096"/>
        <c:crosses val="autoZero"/>
        <c:auto val="1"/>
        <c:lblAlgn val="ctr"/>
        <c:lblOffset val="100"/>
        <c:noMultiLvlLbl val="0"/>
      </c:catAx>
      <c:valAx>
        <c:axId val="352212096"/>
        <c:scaling>
          <c:orientation val="minMax"/>
          <c:max val="-333.5"/>
          <c:min val="-337"/>
        </c:scaling>
        <c:delete val="0"/>
        <c:axPos val="l"/>
        <c:majorGridlines/>
        <c:numFmt formatCode="General" sourceLinked="1"/>
        <c:majorTickMark val="out"/>
        <c:minorTickMark val="none"/>
        <c:tickLblPos val="none"/>
        <c:crossAx val="352169344"/>
        <c:crosses val="autoZero"/>
        <c:crossBetween val="midCat"/>
        <c:majorUnit val="0.5"/>
      </c:valAx>
      <c:serAx>
        <c:axId val="352175872"/>
        <c:scaling>
          <c:orientation val="maxMin"/>
        </c:scaling>
        <c:delete val="0"/>
        <c:axPos val="b"/>
        <c:majorTickMark val="out"/>
        <c:minorTickMark val="none"/>
        <c:tickLblPos val="nextTo"/>
        <c:crossAx val="352212096"/>
        <c:crosses val="autoZero"/>
      </c:ser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Data and Lognormal Fit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256774062662471"/>
          <c:y val="0.17218748775806045"/>
          <c:w val="0.65770753293520112"/>
          <c:h val="0.70649278215222766"/>
        </c:manualLayout>
      </c:layout>
      <c:scatterChart>
        <c:scatterStyle val="lineMarker"/>
        <c:varyColors val="0"/>
        <c:ser>
          <c:idx val="0"/>
          <c:order val="0"/>
          <c:tx>
            <c:strRef>
              <c:f>'Ex 9.1'!$J$16</c:f>
              <c:strCache>
                <c:ptCount val="1"/>
                <c:pt idx="0">
                  <c:v>Model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6"/>
          </c:marker>
          <c:xVal>
            <c:numRef>
              <c:f>'Ex 9.1'!$C$18:$C$30</c:f>
              <c:numCache>
                <c:formatCode>General</c:formatCode>
                <c:ptCount val="13"/>
                <c:pt idx="0">
                  <c:v>1</c:v>
                </c:pt>
                <c:pt idx="1">
                  <c:v>6</c:v>
                </c:pt>
                <c:pt idx="2">
                  <c:v>48</c:v>
                </c:pt>
                <c:pt idx="3">
                  <c:v>168</c:v>
                </c:pt>
                <c:pt idx="4">
                  <c:v>500</c:v>
                </c:pt>
                <c:pt idx="5">
                  <c:v>1000</c:v>
                </c:pt>
                <c:pt idx="7">
                  <c:v>1</c:v>
                </c:pt>
                <c:pt idx="8">
                  <c:v>6</c:v>
                </c:pt>
                <c:pt idx="9">
                  <c:v>48</c:v>
                </c:pt>
                <c:pt idx="10">
                  <c:v>168</c:v>
                </c:pt>
                <c:pt idx="11">
                  <c:v>500</c:v>
                </c:pt>
                <c:pt idx="12">
                  <c:v>1000</c:v>
                </c:pt>
              </c:numCache>
            </c:numRef>
          </c:xVal>
          <c:yVal>
            <c:numRef>
              <c:f>'Ex 9.1'!$J$18:$J$30</c:f>
              <c:numCache>
                <c:formatCode>General</c:formatCode>
                <c:ptCount val="13"/>
                <c:pt idx="0">
                  <c:v>-2.6661741384716717</c:v>
                </c:pt>
                <c:pt idx="1">
                  <c:v>-2.5454525464228959</c:v>
                </c:pt>
                <c:pt idx="2">
                  <c:v>-2.4053480860892185</c:v>
                </c:pt>
                <c:pt idx="3">
                  <c:v>-2.3209419240937863</c:v>
                </c:pt>
                <c:pt idx="4">
                  <c:v>-2.2474586822480904</c:v>
                </c:pt>
                <c:pt idx="5">
                  <c:v>-2.2007571954701977</c:v>
                </c:pt>
                <c:pt idx="7">
                  <c:v>-2.3524404976469682</c:v>
                </c:pt>
                <c:pt idx="8">
                  <c:v>-2.2317189055981914</c:v>
                </c:pt>
                <c:pt idx="9">
                  <c:v>-2.091614445264514</c:v>
                </c:pt>
                <c:pt idx="10">
                  <c:v>-2.0072082832690827</c:v>
                </c:pt>
                <c:pt idx="11">
                  <c:v>-1.9337250414233871</c:v>
                </c:pt>
                <c:pt idx="12">
                  <c:v>-1.8870235546454941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'Ex 9.1'!$I$16</c:f>
              <c:strCache>
                <c:ptCount val="1"/>
                <c:pt idx="0">
                  <c:v>Data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</c:marker>
          <c:xVal>
            <c:numRef>
              <c:f>'Ex 9.1'!$C$18:$C$31</c:f>
              <c:numCache>
                <c:formatCode>General</c:formatCode>
                <c:ptCount val="14"/>
                <c:pt idx="0">
                  <c:v>1</c:v>
                </c:pt>
                <c:pt idx="1">
                  <c:v>6</c:v>
                </c:pt>
                <c:pt idx="2">
                  <c:v>48</c:v>
                </c:pt>
                <c:pt idx="3">
                  <c:v>168</c:v>
                </c:pt>
                <c:pt idx="4">
                  <c:v>500</c:v>
                </c:pt>
                <c:pt idx="5">
                  <c:v>1000</c:v>
                </c:pt>
                <c:pt idx="7">
                  <c:v>1</c:v>
                </c:pt>
                <c:pt idx="8">
                  <c:v>6</c:v>
                </c:pt>
                <c:pt idx="9">
                  <c:v>48</c:v>
                </c:pt>
                <c:pt idx="10">
                  <c:v>168</c:v>
                </c:pt>
                <c:pt idx="11">
                  <c:v>500</c:v>
                </c:pt>
                <c:pt idx="12">
                  <c:v>1000</c:v>
                </c:pt>
              </c:numCache>
            </c:numRef>
          </c:xVal>
          <c:yVal>
            <c:numRef>
              <c:f>'Ex 9.1'!$I$18:$I$30</c:f>
              <c:numCache>
                <c:formatCode>General</c:formatCode>
                <c:ptCount val="13"/>
                <c:pt idx="0">
                  <c:v>-2.5758293035488999</c:v>
                </c:pt>
                <c:pt idx="1">
                  <c:v>-2.5758293035488999</c:v>
                </c:pt>
                <c:pt idx="2">
                  <c:v>-2.365618126864292</c:v>
                </c:pt>
                <c:pt idx="3">
                  <c:v>-2.365618126864292</c:v>
                </c:pt>
                <c:pt idx="4">
                  <c:v>-2.257129244486225</c:v>
                </c:pt>
                <c:pt idx="5">
                  <c:v>-2.1972863766410518</c:v>
                </c:pt>
                <c:pt idx="7">
                  <c:v>-2.365618126864292</c:v>
                </c:pt>
                <c:pt idx="8">
                  <c:v>-2.1972863766410518</c:v>
                </c:pt>
                <c:pt idx="9">
                  <c:v>-2.0748547343933095</c:v>
                </c:pt>
                <c:pt idx="10">
                  <c:v>-2.0140908120181393</c:v>
                </c:pt>
                <c:pt idx="11">
                  <c:v>-1.9773684281819468</c:v>
                </c:pt>
                <c:pt idx="12">
                  <c:v>-1.8956979239918383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2668288"/>
        <c:axId val="352670464"/>
      </c:scatterChart>
      <c:valAx>
        <c:axId val="352668288"/>
        <c:scaling>
          <c:logBase val="10"/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(hours)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out"/>
        <c:tickLblPos val="nextTo"/>
        <c:crossAx val="352670464"/>
        <c:crosses val="autoZero"/>
        <c:crossBetween val="midCat"/>
      </c:valAx>
      <c:valAx>
        <c:axId val="352670464"/>
        <c:scaling>
          <c:orientation val="minMax"/>
          <c:max val="-1.5"/>
          <c:min val="-3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Probit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out"/>
        <c:tickLblPos val="nextTo"/>
        <c:crossAx val="352668288"/>
        <c:crosses val="autoZero"/>
        <c:crossBetween val="midCat"/>
        <c:majorUnit val="1"/>
      </c:valAx>
    </c:plotArea>
    <c:legend>
      <c:legendPos val="r"/>
      <c:layout>
        <c:manualLayout>
          <c:xMode val="edge"/>
          <c:yMode val="edge"/>
          <c:x val="0.82027362521713776"/>
          <c:y val="0.63702197673052297"/>
          <c:w val="0.1636233152015415"/>
          <c:h val="0.16421436126454339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txPr>
    <a:bodyPr/>
    <a:lstStyle/>
    <a:p>
      <a:pPr>
        <a:defRPr sz="1200" b="0"/>
      </a:pPr>
      <a:endParaRPr lang="en-US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787877781100266"/>
          <c:y val="6.762667012302491E-2"/>
          <c:w val="0.65704375560650086"/>
          <c:h val="0.68925439875571048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4"/>
          </c:marker>
          <c:xVal>
            <c:numRef>
              <c:f>'Ex 9.1'!$U$21:$AD$21</c:f>
              <c:numCache>
                <c:formatCode>General</c:formatCode>
                <c:ptCount val="10"/>
                <c:pt idx="0">
                  <c:v>43.11223725664577</c:v>
                </c:pt>
                <c:pt idx="1">
                  <c:v>33.180065721472054</c:v>
                </c:pt>
                <c:pt idx="2">
                  <c:v>41.819252401215834</c:v>
                </c:pt>
                <c:pt idx="3">
                  <c:v>47.845213176824586</c:v>
                </c:pt>
                <c:pt idx="4">
                  <c:v>33.694210815443164</c:v>
                </c:pt>
                <c:pt idx="5">
                  <c:v>46.795872252182235</c:v>
                </c:pt>
                <c:pt idx="6">
                  <c:v>38.541606203599081</c:v>
                </c:pt>
                <c:pt idx="7">
                  <c:v>36.520757323387798</c:v>
                </c:pt>
                <c:pt idx="8">
                  <c:v>50.108571907425848</c:v>
                </c:pt>
                <c:pt idx="9">
                  <c:v>32.432369649015087</c:v>
                </c:pt>
              </c:numCache>
            </c:numRef>
          </c:xVal>
          <c:yVal>
            <c:numRef>
              <c:f>'Ex 9.1'!$U$22:$AD$22</c:f>
              <c:numCache>
                <c:formatCode>General</c:formatCode>
                <c:ptCount val="10"/>
                <c:pt idx="0">
                  <c:v>16.111880677474549</c:v>
                </c:pt>
                <c:pt idx="1">
                  <c:v>12.128010368366747</c:v>
                </c:pt>
                <c:pt idx="2">
                  <c:v>15.031887245147738</c:v>
                </c:pt>
                <c:pt idx="3">
                  <c:v>18.442568077358231</c:v>
                </c:pt>
                <c:pt idx="4">
                  <c:v>12.249246005224164</c:v>
                </c:pt>
                <c:pt idx="5">
                  <c:v>17.683195726271581</c:v>
                </c:pt>
                <c:pt idx="6">
                  <c:v>13.998284433278705</c:v>
                </c:pt>
                <c:pt idx="7">
                  <c:v>13.432415451921264</c:v>
                </c:pt>
                <c:pt idx="8">
                  <c:v>20.411210852453756</c:v>
                </c:pt>
                <c:pt idx="9">
                  <c:v>11.553105184550258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2978048"/>
        <c:axId val="352979968"/>
      </c:scatterChart>
      <c:valAx>
        <c:axId val="352978048"/>
        <c:scaling>
          <c:orientation val="minMax"/>
          <c:max val="60"/>
          <c:min val="3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mu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52979968"/>
        <c:crosses val="autoZero"/>
        <c:crossBetween val="midCat"/>
        <c:majorUnit val="10"/>
      </c:valAx>
      <c:valAx>
        <c:axId val="3529799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sigma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52978048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200" b="0"/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436282490005328"/>
          <c:y val="6.7626670123024923E-2"/>
          <c:w val="0.61203672325769409"/>
          <c:h val="0.6769087197433656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4"/>
          </c:marker>
          <c:xVal>
            <c:numRef>
              <c:f>'Ex 9.1'!$U$23:$AD$23</c:f>
              <c:numCache>
                <c:formatCode>General</c:formatCode>
                <c:ptCount val="10"/>
                <c:pt idx="0">
                  <c:v>2.0509848507981387</c:v>
                </c:pt>
                <c:pt idx="1">
                  <c:v>1.028558233895553</c:v>
                </c:pt>
                <c:pt idx="2">
                  <c:v>2.1891980460342633</c:v>
                </c:pt>
                <c:pt idx="3">
                  <c:v>1.3720897260909153</c:v>
                </c:pt>
                <c:pt idx="4">
                  <c:v>0.95525156110267984</c:v>
                </c:pt>
                <c:pt idx="5">
                  <c:v>1.5791286089527696</c:v>
                </c:pt>
                <c:pt idx="6">
                  <c:v>1.6087740080644943</c:v>
                </c:pt>
                <c:pt idx="7">
                  <c:v>0.91321271564529893</c:v>
                </c:pt>
                <c:pt idx="8">
                  <c:v>1.2172314167505141</c:v>
                </c:pt>
                <c:pt idx="9">
                  <c:v>0.90652780893983087</c:v>
                </c:pt>
              </c:numCache>
            </c:numRef>
          </c:xVal>
          <c:yVal>
            <c:numRef>
              <c:f>'Ex 9.1'!$U$24:$AD$24</c:f>
              <c:numCache>
                <c:formatCode>General</c:formatCode>
                <c:ptCount val="10"/>
                <c:pt idx="0">
                  <c:v>8.2727552584046515E-3</c:v>
                </c:pt>
                <c:pt idx="1">
                  <c:v>1.475121833481674E-2</c:v>
                </c:pt>
                <c:pt idx="2">
                  <c:v>6.1509410901723349E-3</c:v>
                </c:pt>
                <c:pt idx="3">
                  <c:v>1.1658467826181296E-2</c:v>
                </c:pt>
                <c:pt idx="4">
                  <c:v>1.4489507051484218E-2</c:v>
                </c:pt>
                <c:pt idx="5">
                  <c:v>9.8395351845004253E-3</c:v>
                </c:pt>
                <c:pt idx="6">
                  <c:v>9.1015086028807257E-3</c:v>
                </c:pt>
                <c:pt idx="7">
                  <c:v>1.4086949987714092E-2</c:v>
                </c:pt>
                <c:pt idx="8">
                  <c:v>1.6041296526818627E-2</c:v>
                </c:pt>
                <c:pt idx="9">
                  <c:v>1.4020319994596298E-2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2988160"/>
        <c:axId val="352998528"/>
      </c:scatterChart>
      <c:valAx>
        <c:axId val="352988160"/>
        <c:scaling>
          <c:orientation val="minMax"/>
          <c:max val="3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52998528"/>
        <c:crosses val="autoZero"/>
        <c:crossBetween val="midCat"/>
        <c:majorUnit val="1"/>
      </c:valAx>
      <c:valAx>
        <c:axId val="352998528"/>
        <c:scaling>
          <c:orientation val="minMax"/>
          <c:max val="2.5000000000000012E-2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FOM pfail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52988160"/>
        <c:crosses val="autoZero"/>
        <c:crossBetween val="midCat"/>
        <c:majorUnit val="1.0000000000000005E-2"/>
      </c:valAx>
    </c:plotArea>
    <c:plotVisOnly val="1"/>
    <c:dispBlanksAs val="gap"/>
    <c:showDLblsOverMax val="0"/>
  </c:chart>
  <c:txPr>
    <a:bodyPr/>
    <a:lstStyle/>
    <a:p>
      <a:pPr>
        <a:defRPr sz="1200" b="0"/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image" Target="../media/image1.png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585786</xdr:colOff>
      <xdr:row>2</xdr:row>
      <xdr:rowOff>109536</xdr:rowOff>
    </xdr:from>
    <xdr:to>
      <xdr:col>14</xdr:col>
      <xdr:colOff>323849</xdr:colOff>
      <xdr:row>14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200025</xdr:colOff>
      <xdr:row>15</xdr:row>
      <xdr:rowOff>104775</xdr:rowOff>
    </xdr:from>
    <xdr:to>
      <xdr:col>8</xdr:col>
      <xdr:colOff>490538</xdr:colOff>
      <xdr:row>27</xdr:row>
      <xdr:rowOff>100014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19049</xdr:colOff>
      <xdr:row>15</xdr:row>
      <xdr:rowOff>95250</xdr:rowOff>
    </xdr:from>
    <xdr:to>
      <xdr:col>14</xdr:col>
      <xdr:colOff>352424</xdr:colOff>
      <xdr:row>27</xdr:row>
      <xdr:rowOff>133350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251093</xdr:colOff>
      <xdr:row>5</xdr:row>
      <xdr:rowOff>37798</xdr:rowOff>
    </xdr:from>
    <xdr:to>
      <xdr:col>7</xdr:col>
      <xdr:colOff>3441</xdr:colOff>
      <xdr:row>18</xdr:row>
      <xdr:rowOff>53673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66675</xdr:colOff>
      <xdr:row>4</xdr:row>
      <xdr:rowOff>0</xdr:rowOff>
    </xdr:from>
    <xdr:to>
      <xdr:col>18</xdr:col>
      <xdr:colOff>352425</xdr:colOff>
      <xdr:row>19</xdr:row>
      <xdr:rowOff>123825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204787</xdr:colOff>
      <xdr:row>29</xdr:row>
      <xdr:rowOff>14287</xdr:rowOff>
    </xdr:from>
    <xdr:to>
      <xdr:col>14</xdr:col>
      <xdr:colOff>76200</xdr:colOff>
      <xdr:row>40</xdr:row>
      <xdr:rowOff>9525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37</xdr:row>
      <xdr:rowOff>152400</xdr:rowOff>
    </xdr:from>
    <xdr:to>
      <xdr:col>8</xdr:col>
      <xdr:colOff>390525</xdr:colOff>
      <xdr:row>53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19</xdr:col>
      <xdr:colOff>161925</xdr:colOff>
      <xdr:row>25</xdr:row>
      <xdr:rowOff>9525</xdr:rowOff>
    </xdr:from>
    <xdr:to>
      <xdr:col>22</xdr:col>
      <xdr:colOff>333375</xdr:colOff>
      <xdr:row>35</xdr:row>
      <xdr:rowOff>161925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22</xdr:col>
      <xdr:colOff>152400</xdr:colOff>
      <xdr:row>38</xdr:row>
      <xdr:rowOff>28575</xdr:rowOff>
    </xdr:from>
    <xdr:to>
      <xdr:col>26</xdr:col>
      <xdr:colOff>219075</xdr:colOff>
      <xdr:row>48</xdr:row>
      <xdr:rowOff>180975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18</xdr:col>
      <xdr:colOff>47625</xdr:colOff>
      <xdr:row>38</xdr:row>
      <xdr:rowOff>0</xdr:rowOff>
    </xdr:from>
    <xdr:to>
      <xdr:col>22</xdr:col>
      <xdr:colOff>28575</xdr:colOff>
      <xdr:row>48</xdr:row>
      <xdr:rowOff>152400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14</xdr:col>
      <xdr:colOff>180975</xdr:colOff>
      <xdr:row>38</xdr:row>
      <xdr:rowOff>0</xdr:rowOff>
    </xdr:from>
    <xdr:to>
      <xdr:col>18</xdr:col>
      <xdr:colOff>0</xdr:colOff>
      <xdr:row>48</xdr:row>
      <xdr:rowOff>152400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14</xdr:col>
      <xdr:colOff>238125</xdr:colOff>
      <xdr:row>51</xdr:row>
      <xdr:rowOff>76200</xdr:rowOff>
    </xdr:from>
    <xdr:to>
      <xdr:col>20</xdr:col>
      <xdr:colOff>438150</xdr:colOff>
      <xdr:row>58</xdr:row>
      <xdr:rowOff>123825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 l="6311" t="66272" r="6068" b="5128"/>
        <a:stretch>
          <a:fillRect/>
        </a:stretch>
      </xdr:blipFill>
      <xdr:spPr bwMode="auto">
        <a:xfrm>
          <a:off x="7934325" y="8372475"/>
          <a:ext cx="3438525" cy="13811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21</xdr:col>
      <xdr:colOff>238125</xdr:colOff>
      <xdr:row>58</xdr:row>
      <xdr:rowOff>104775</xdr:rowOff>
    </xdr:from>
    <xdr:to>
      <xdr:col>22</xdr:col>
      <xdr:colOff>581025</xdr:colOff>
      <xdr:row>60</xdr:row>
      <xdr:rowOff>180975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 l="16020" t="85404" r="56310" b="5128"/>
        <a:stretch>
          <a:fillRect/>
        </a:stretch>
      </xdr:blipFill>
      <xdr:spPr bwMode="auto">
        <a:xfrm>
          <a:off x="11877675" y="9534525"/>
          <a:ext cx="1085850" cy="457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21</xdr:col>
      <xdr:colOff>85725</xdr:colOff>
      <xdr:row>52</xdr:row>
      <xdr:rowOff>142875</xdr:rowOff>
    </xdr:from>
    <xdr:to>
      <xdr:col>22</xdr:col>
      <xdr:colOff>590550</xdr:colOff>
      <xdr:row>58</xdr:row>
      <xdr:rowOff>28575</xdr:rowOff>
    </xdr:to>
    <xdr:pic>
      <xdr:nvPicPr>
        <xdr:cNvPr id="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 l="11893" t="25246" r="56311" b="53452"/>
        <a:stretch>
          <a:fillRect/>
        </a:stretch>
      </xdr:blipFill>
      <xdr:spPr bwMode="auto">
        <a:xfrm>
          <a:off x="11725275" y="8601075"/>
          <a:ext cx="1247775" cy="1028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D11"/>
  <sheetViews>
    <sheetView workbookViewId="0">
      <selection activeCell="C14" sqref="C14"/>
    </sheetView>
  </sheetViews>
  <sheetFormatPr defaultRowHeight="15" x14ac:dyDescent="0.25"/>
  <cols>
    <col min="1" max="1" width="2.85546875" customWidth="1"/>
  </cols>
  <sheetData>
    <row r="1" spans="2:4" ht="18.75" x14ac:dyDescent="0.3">
      <c r="B1" s="44" t="s">
        <v>116</v>
      </c>
    </row>
    <row r="2" spans="2:4" x14ac:dyDescent="0.25">
      <c r="B2" t="s">
        <v>117</v>
      </c>
    </row>
    <row r="3" spans="2:4" x14ac:dyDescent="0.25">
      <c r="B3" t="s">
        <v>118</v>
      </c>
    </row>
    <row r="5" spans="2:4" x14ac:dyDescent="0.25">
      <c r="B5" s="38" t="s">
        <v>119</v>
      </c>
      <c r="C5" s="2">
        <v>1.2</v>
      </c>
      <c r="D5" s="38" t="s">
        <v>123</v>
      </c>
    </row>
    <row r="6" spans="2:4" x14ac:dyDescent="0.25">
      <c r="B6" s="38" t="s">
        <v>120</v>
      </c>
      <c r="C6" s="2">
        <v>1.4</v>
      </c>
      <c r="D6" s="38" t="s">
        <v>123</v>
      </c>
    </row>
    <row r="7" spans="2:4" x14ac:dyDescent="0.25">
      <c r="B7" s="38" t="s">
        <v>121</v>
      </c>
      <c r="C7" s="2">
        <v>1943</v>
      </c>
      <c r="D7" s="38" t="s">
        <v>22</v>
      </c>
    </row>
    <row r="8" spans="2:4" x14ac:dyDescent="0.25">
      <c r="B8" s="38" t="s">
        <v>122</v>
      </c>
      <c r="C8" s="2">
        <v>286</v>
      </c>
      <c r="D8" s="38" t="s">
        <v>22</v>
      </c>
    </row>
    <row r="10" spans="2:4" x14ac:dyDescent="0.25">
      <c r="B10" s="38" t="s">
        <v>124</v>
      </c>
      <c r="C10" s="3">
        <f>C7/C8</f>
        <v>6.7937062937062933</v>
      </c>
      <c r="D10">
        <f>EXP(C11*(C6-C5))</f>
        <v>6.7937062937062924</v>
      </c>
    </row>
    <row r="11" spans="2:4" x14ac:dyDescent="0.25">
      <c r="B11" s="38" t="s">
        <v>125</v>
      </c>
      <c r="C11" s="45">
        <f>LN(C10) / (C6-C5)</f>
        <v>9.5799831927879389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1:D12"/>
  <sheetViews>
    <sheetView workbookViewId="0">
      <selection activeCell="C16" sqref="C16"/>
    </sheetView>
  </sheetViews>
  <sheetFormatPr defaultRowHeight="15" x14ac:dyDescent="0.25"/>
  <cols>
    <col min="1" max="1" width="2.85546875" style="8" customWidth="1"/>
    <col min="2" max="16384" width="9.140625" style="8"/>
  </cols>
  <sheetData>
    <row r="1" spans="2:4" ht="18.75" x14ac:dyDescent="0.3">
      <c r="B1" s="44" t="s">
        <v>126</v>
      </c>
    </row>
    <row r="2" spans="2:4" x14ac:dyDescent="0.25">
      <c r="B2" s="8" t="s">
        <v>127</v>
      </c>
    </row>
    <row r="3" spans="2:4" x14ac:dyDescent="0.25">
      <c r="B3" s="8" t="s">
        <v>128</v>
      </c>
    </row>
    <row r="5" spans="2:4" x14ac:dyDescent="0.25">
      <c r="B5" s="38" t="s">
        <v>129</v>
      </c>
      <c r="C5" s="2">
        <v>80</v>
      </c>
      <c r="D5" s="38" t="s">
        <v>131</v>
      </c>
    </row>
    <row r="6" spans="2:4" x14ac:dyDescent="0.25">
      <c r="B6" s="38" t="s">
        <v>130</v>
      </c>
      <c r="C6" s="2">
        <v>120</v>
      </c>
      <c r="D6" s="38" t="s">
        <v>131</v>
      </c>
    </row>
    <row r="7" spans="2:4" x14ac:dyDescent="0.25">
      <c r="B7" s="38" t="s">
        <v>121</v>
      </c>
      <c r="C7" s="2">
        <v>905</v>
      </c>
      <c r="D7" s="38" t="s">
        <v>22</v>
      </c>
    </row>
    <row r="8" spans="2:4" x14ac:dyDescent="0.25">
      <c r="B8" s="38" t="s">
        <v>122</v>
      </c>
      <c r="C8" s="2">
        <v>201</v>
      </c>
      <c r="D8" s="38" t="s">
        <v>22</v>
      </c>
    </row>
    <row r="9" spans="2:4" x14ac:dyDescent="0.25">
      <c r="B9" s="38" t="s">
        <v>132</v>
      </c>
      <c r="C9" s="32">
        <v>8.6173430000000006E-5</v>
      </c>
      <c r="D9" s="38" t="s">
        <v>133</v>
      </c>
    </row>
    <row r="11" spans="2:4" x14ac:dyDescent="0.25">
      <c r="B11" s="38" t="s">
        <v>124</v>
      </c>
      <c r="C11" s="3">
        <f>C7/C8</f>
        <v>4.5024875621890548</v>
      </c>
      <c r="D11" s="8">
        <f>EXP(C12/C9 * (1/(C5+273) - 1/(C6+273)))</f>
        <v>4.5024875621890548</v>
      </c>
    </row>
    <row r="12" spans="2:4" x14ac:dyDescent="0.25">
      <c r="B12" s="38" t="s">
        <v>125</v>
      </c>
      <c r="C12" s="45">
        <f>LN(C11)*C9 / (1/(C5+273) - 1/(C6+273))</f>
        <v>0.44968703979349678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L56"/>
  <sheetViews>
    <sheetView zoomScaleNormal="100" workbookViewId="0">
      <selection activeCell="E16" sqref="E16"/>
    </sheetView>
  </sheetViews>
  <sheetFormatPr defaultRowHeight="15" x14ac:dyDescent="0.25"/>
  <cols>
    <col min="1" max="1" width="2.85546875" style="8" customWidth="1"/>
    <col min="2" max="2" width="20.140625" style="8" customWidth="1"/>
    <col min="3" max="4" width="9.140625" style="8" customWidth="1"/>
    <col min="5" max="5" width="9.7109375" style="8" customWidth="1"/>
    <col min="6" max="6" width="9.5703125" style="8" customWidth="1"/>
    <col min="7" max="7" width="9.140625" style="8" customWidth="1"/>
    <col min="8" max="8" width="9.140625" style="8"/>
    <col min="9" max="9" width="9.140625" style="8" customWidth="1"/>
    <col min="10" max="16384" width="9.140625" style="8"/>
  </cols>
  <sheetData>
    <row r="1" spans="2:12" ht="15.75" x14ac:dyDescent="0.25">
      <c r="B1" s="7" t="s">
        <v>46</v>
      </c>
    </row>
    <row r="2" spans="2:12" ht="12.75" customHeight="1" x14ac:dyDescent="0.25"/>
    <row r="3" spans="2:12" x14ac:dyDescent="0.25">
      <c r="B3" s="18" t="s">
        <v>10</v>
      </c>
      <c r="C3" s="19">
        <f>COUNT(C7:C56)</f>
        <v>50</v>
      </c>
      <c r="G3" s="9"/>
      <c r="H3" s="10"/>
      <c r="I3" s="10"/>
      <c r="J3" s="10"/>
      <c r="K3" s="10"/>
      <c r="L3" s="10"/>
    </row>
    <row r="4" spans="2:12" x14ac:dyDescent="0.25">
      <c r="B4" s="18" t="s">
        <v>11</v>
      </c>
      <c r="C4" s="19">
        <f>SUM(C7:C56)</f>
        <v>1539.412527569023</v>
      </c>
      <c r="G4" s="9"/>
      <c r="H4" s="10"/>
      <c r="I4" s="10"/>
      <c r="J4" s="10"/>
      <c r="K4" s="10"/>
      <c r="L4" s="10"/>
    </row>
    <row r="5" spans="2:12" x14ac:dyDescent="0.25">
      <c r="B5" s="18" t="s">
        <v>47</v>
      </c>
      <c r="C5" s="19">
        <f>C3/C4</f>
        <v>3.2479922765704619E-2</v>
      </c>
      <c r="E5" s="18" t="s">
        <v>12</v>
      </c>
      <c r="F5" s="18"/>
      <c r="G5" s="10"/>
      <c r="H5" s="10"/>
      <c r="J5" s="10"/>
      <c r="K5" s="10"/>
      <c r="L5" s="10"/>
    </row>
    <row r="6" spans="2:12" x14ac:dyDescent="0.25">
      <c r="B6" s="9"/>
      <c r="C6" s="18" t="s">
        <v>3</v>
      </c>
      <c r="F6" s="18" t="s">
        <v>2</v>
      </c>
      <c r="G6" s="18" t="s">
        <v>13</v>
      </c>
      <c r="H6" s="18" t="s">
        <v>14</v>
      </c>
      <c r="J6" s="10"/>
      <c r="K6" s="10"/>
      <c r="L6" s="10"/>
    </row>
    <row r="7" spans="2:12" x14ac:dyDescent="0.25">
      <c r="B7" s="10"/>
      <c r="C7" s="8">
        <v>25.951964986681674</v>
      </c>
      <c r="E7" s="18" t="s">
        <v>0</v>
      </c>
      <c r="F7" s="19">
        <v>4.0632152876471622E-2</v>
      </c>
      <c r="G7" s="19">
        <f>$C$3*LN(F7) - F7*$C$4</f>
        <v>-222.7094243114114</v>
      </c>
      <c r="H7" s="19">
        <f>CHIDIST(2*($G$8-G7), 1)</f>
        <v>0.10000056373924321</v>
      </c>
    </row>
    <row r="8" spans="2:12" x14ac:dyDescent="0.25">
      <c r="B8" s="10"/>
      <c r="C8" s="8">
        <v>0.47293431244217454</v>
      </c>
      <c r="E8" s="18" t="s">
        <v>15</v>
      </c>
      <c r="F8" s="19">
        <v>3.2479922770283984E-2</v>
      </c>
      <c r="G8" s="19">
        <f>$C$3*LN(F8) - F8*$C$4</f>
        <v>-221.35665707973348</v>
      </c>
      <c r="H8" s="19">
        <f>CHIDIST(2*($G$8-G8), 1)</f>
        <v>1</v>
      </c>
      <c r="J8" s="10"/>
      <c r="K8" s="10"/>
      <c r="L8" s="10"/>
    </row>
    <row r="9" spans="2:12" x14ac:dyDescent="0.25">
      <c r="B9" s="10"/>
      <c r="C9" s="8">
        <v>22.10933351575996</v>
      </c>
      <c r="D9" s="9"/>
      <c r="E9" s="18" t="s">
        <v>1</v>
      </c>
      <c r="F9" s="19">
        <v>2.5498665548043593E-2</v>
      </c>
      <c r="G9" s="19">
        <f>$C$3*LN(F9) - F9*$C$4</f>
        <v>-222.70942316276921</v>
      </c>
      <c r="H9" s="19">
        <f>CHIDIST(2*($G$8-G9), 1)</f>
        <v>0.10000070778460733</v>
      </c>
      <c r="J9" s="10"/>
      <c r="K9" s="10"/>
      <c r="L9" s="10"/>
    </row>
    <row r="10" spans="2:12" x14ac:dyDescent="0.25">
      <c r="B10" s="10"/>
      <c r="C10" s="8">
        <v>4.4752419706407149</v>
      </c>
      <c r="D10" s="12"/>
      <c r="G10" s="9"/>
      <c r="H10" s="10"/>
      <c r="J10" s="10"/>
      <c r="K10" s="10"/>
      <c r="L10" s="10"/>
    </row>
    <row r="11" spans="2:12" x14ac:dyDescent="0.25">
      <c r="B11" s="10"/>
      <c r="C11" s="8">
        <v>29.27379270717428</v>
      </c>
      <c r="D11" s="9"/>
      <c r="E11" s="18" t="s">
        <v>16</v>
      </c>
      <c r="G11" s="9"/>
      <c r="H11" s="10"/>
      <c r="J11" s="10"/>
      <c r="K11" s="10"/>
      <c r="L11" s="10"/>
    </row>
    <row r="12" spans="2:12" x14ac:dyDescent="0.25">
      <c r="B12" s="10"/>
      <c r="C12" s="8">
        <v>176.52041162577913</v>
      </c>
      <c r="D12" s="13"/>
      <c r="E12" s="18" t="s">
        <v>0</v>
      </c>
      <c r="F12" s="19">
        <f>F8 * CHIINV(0.05, 2*(C3+1)) / (2*C3)</f>
        <v>4.1111185579742165E-2</v>
      </c>
      <c r="H12" s="14"/>
      <c r="J12" s="10"/>
      <c r="K12" s="10"/>
      <c r="L12" s="10"/>
    </row>
    <row r="13" spans="2:12" x14ac:dyDescent="0.25">
      <c r="B13" s="10"/>
      <c r="C13" s="8">
        <v>6.0305724663325719</v>
      </c>
      <c r="D13" s="10"/>
      <c r="E13" s="21" t="s">
        <v>15</v>
      </c>
      <c r="F13" s="19">
        <f>C3/SUM(C7:C56)</f>
        <v>3.2479922765704619E-2</v>
      </c>
      <c r="G13" s="10"/>
      <c r="H13" s="10"/>
      <c r="J13" s="10"/>
    </row>
    <row r="14" spans="2:12" x14ac:dyDescent="0.25">
      <c r="B14" s="10"/>
      <c r="C14" s="8">
        <v>10.882379048643076</v>
      </c>
      <c r="E14" s="18" t="s">
        <v>1</v>
      </c>
      <c r="F14" s="19">
        <f>F8 * CHIINV(0.95, 2*C3) / (2*C3)</f>
        <v>2.531143010089297E-2</v>
      </c>
      <c r="G14" s="10"/>
      <c r="H14" s="10"/>
      <c r="J14" s="10"/>
    </row>
    <row r="15" spans="2:12" x14ac:dyDescent="0.25">
      <c r="B15" s="10"/>
      <c r="C15" s="8">
        <v>51.112410282279797</v>
      </c>
      <c r="F15" s="10"/>
      <c r="G15" s="10"/>
      <c r="H15" s="10"/>
      <c r="I15" s="10"/>
      <c r="J15" s="10"/>
    </row>
    <row r="16" spans="2:12" x14ac:dyDescent="0.25">
      <c r="B16" s="10"/>
      <c r="C16" s="8">
        <v>57.19738679484238</v>
      </c>
      <c r="F16" s="10"/>
      <c r="G16" s="10"/>
      <c r="H16" s="10"/>
      <c r="I16" s="10"/>
      <c r="J16" s="10"/>
    </row>
    <row r="17" spans="2:10" x14ac:dyDescent="0.25">
      <c r="B17" s="10"/>
      <c r="C17" s="8">
        <v>9.2894876265200885</v>
      </c>
      <c r="F17" s="11"/>
      <c r="G17" s="9"/>
      <c r="H17" s="9"/>
      <c r="I17" s="10"/>
      <c r="J17" s="10"/>
    </row>
    <row r="18" spans="2:10" x14ac:dyDescent="0.25">
      <c r="B18" s="10"/>
      <c r="C18" s="8">
        <v>8.8414282691162693</v>
      </c>
      <c r="E18" s="9"/>
      <c r="F18" s="10"/>
      <c r="G18" s="10"/>
      <c r="H18" s="10"/>
      <c r="I18" s="10"/>
      <c r="J18" s="10"/>
    </row>
    <row r="19" spans="2:10" x14ac:dyDescent="0.25">
      <c r="B19" s="10"/>
      <c r="C19" s="8">
        <v>36.889878312896407</v>
      </c>
      <c r="E19" s="11"/>
      <c r="F19" s="10"/>
      <c r="G19" s="10"/>
      <c r="H19" s="10"/>
      <c r="I19" s="10"/>
      <c r="J19" s="10"/>
    </row>
    <row r="20" spans="2:10" x14ac:dyDescent="0.25">
      <c r="B20" s="10"/>
      <c r="C20" s="8">
        <v>4.985728324433107</v>
      </c>
      <c r="E20" s="11"/>
      <c r="F20" s="10"/>
      <c r="G20" s="10"/>
      <c r="H20" s="10"/>
      <c r="I20" s="10"/>
      <c r="J20" s="10"/>
    </row>
    <row r="21" spans="2:10" x14ac:dyDescent="0.25">
      <c r="B21" s="10"/>
      <c r="C21" s="8">
        <v>96.021766103169185</v>
      </c>
      <c r="F21" s="10"/>
      <c r="G21" s="10"/>
      <c r="H21" s="10"/>
      <c r="I21" s="10"/>
      <c r="J21" s="10"/>
    </row>
    <row r="22" spans="2:10" x14ac:dyDescent="0.25">
      <c r="B22" s="10"/>
      <c r="C22" s="8">
        <v>19.49550641257294</v>
      </c>
      <c r="F22" s="10"/>
      <c r="G22" s="10"/>
      <c r="H22" s="10"/>
      <c r="I22" s="10"/>
      <c r="J22" s="10"/>
    </row>
    <row r="23" spans="2:10" x14ac:dyDescent="0.25">
      <c r="B23" s="10"/>
      <c r="C23" s="8">
        <v>25.570437855709962</v>
      </c>
      <c r="F23" s="10"/>
      <c r="G23" s="10"/>
      <c r="H23" s="10"/>
      <c r="I23" s="10"/>
      <c r="J23" s="10"/>
    </row>
    <row r="24" spans="2:10" x14ac:dyDescent="0.25">
      <c r="B24" s="10"/>
      <c r="C24" s="8">
        <v>12.978028654502534</v>
      </c>
      <c r="F24" s="10"/>
      <c r="G24" s="10"/>
      <c r="H24" s="10"/>
      <c r="I24" s="10"/>
      <c r="J24" s="10"/>
    </row>
    <row r="25" spans="2:10" x14ac:dyDescent="0.25">
      <c r="B25" s="10"/>
      <c r="C25" s="8">
        <v>26.235235528995727</v>
      </c>
      <c r="F25" s="10"/>
      <c r="G25" s="10"/>
      <c r="H25" s="10"/>
      <c r="I25" s="10"/>
      <c r="J25" s="10"/>
    </row>
    <row r="26" spans="2:10" x14ac:dyDescent="0.25">
      <c r="B26" s="10"/>
      <c r="C26" s="8">
        <v>33.665970738406344</v>
      </c>
      <c r="F26" s="10"/>
      <c r="G26" s="10"/>
      <c r="H26" s="10"/>
      <c r="I26" s="10"/>
      <c r="J26" s="10"/>
    </row>
    <row r="27" spans="2:10" x14ac:dyDescent="0.25">
      <c r="B27" s="10"/>
      <c r="C27" s="8">
        <v>62.100441116203335</v>
      </c>
      <c r="F27" s="10"/>
      <c r="G27" s="10"/>
      <c r="H27" s="10"/>
      <c r="I27" s="10"/>
      <c r="J27" s="10"/>
    </row>
    <row r="28" spans="2:10" x14ac:dyDescent="0.25">
      <c r="B28" s="10"/>
      <c r="C28" s="8">
        <v>16.561486519919608</v>
      </c>
      <c r="F28" s="10"/>
      <c r="G28" s="10"/>
      <c r="H28" s="10"/>
      <c r="I28" s="10"/>
      <c r="J28" s="10"/>
    </row>
    <row r="29" spans="2:10" x14ac:dyDescent="0.25">
      <c r="B29" s="10"/>
      <c r="C29" s="8">
        <v>15.767202092447864</v>
      </c>
      <c r="F29" s="10"/>
      <c r="G29" s="10"/>
      <c r="H29" s="10"/>
      <c r="I29" s="10"/>
      <c r="J29" s="10"/>
    </row>
    <row r="30" spans="2:10" x14ac:dyDescent="0.25">
      <c r="B30" s="10"/>
      <c r="C30" s="8">
        <v>49.011580471434421</v>
      </c>
      <c r="F30" s="10"/>
      <c r="G30" s="10"/>
      <c r="H30" s="10"/>
      <c r="I30" s="10"/>
      <c r="J30" s="10"/>
    </row>
    <row r="31" spans="2:10" x14ac:dyDescent="0.25">
      <c r="B31" s="10"/>
      <c r="C31" s="8">
        <v>1.9776688439412715</v>
      </c>
      <c r="F31" s="10"/>
      <c r="G31" s="10"/>
      <c r="H31" s="10"/>
      <c r="I31" s="10"/>
      <c r="J31" s="10"/>
    </row>
    <row r="32" spans="2:10" x14ac:dyDescent="0.25">
      <c r="B32" s="10"/>
      <c r="C32" s="8">
        <v>14.746608762098386</v>
      </c>
      <c r="F32" s="10"/>
      <c r="G32" s="10"/>
      <c r="H32" s="10"/>
      <c r="I32" s="10"/>
      <c r="J32" s="10"/>
    </row>
    <row r="33" spans="2:10" x14ac:dyDescent="0.25">
      <c r="B33" s="10"/>
      <c r="C33" s="8">
        <v>11.971894391278315</v>
      </c>
      <c r="F33" s="10"/>
      <c r="G33" s="10"/>
      <c r="H33" s="10"/>
      <c r="I33" s="10"/>
      <c r="J33" s="10"/>
    </row>
    <row r="34" spans="2:10" x14ac:dyDescent="0.25">
      <c r="B34" s="10"/>
      <c r="C34" s="8">
        <v>29.290708643681988</v>
      </c>
      <c r="F34" s="10"/>
      <c r="G34" s="10"/>
      <c r="H34" s="10"/>
      <c r="I34" s="10"/>
      <c r="J34" s="10"/>
    </row>
    <row r="35" spans="2:10" x14ac:dyDescent="0.25">
      <c r="B35" s="10"/>
      <c r="C35" s="8">
        <v>8.8063140850943284</v>
      </c>
      <c r="F35" s="10"/>
      <c r="G35" s="10"/>
      <c r="H35" s="10"/>
      <c r="I35" s="10"/>
      <c r="J35" s="10"/>
    </row>
    <row r="36" spans="2:10" x14ac:dyDescent="0.25">
      <c r="B36" s="10"/>
      <c r="C36" s="8">
        <v>0.54221128129716567</v>
      </c>
      <c r="F36" s="10"/>
      <c r="G36" s="10"/>
      <c r="H36" s="10"/>
      <c r="I36" s="10"/>
      <c r="J36" s="10"/>
    </row>
    <row r="37" spans="2:10" x14ac:dyDescent="0.25">
      <c r="B37" s="10"/>
      <c r="C37" s="8">
        <v>40.015487790942984</v>
      </c>
      <c r="F37" s="10"/>
      <c r="G37" s="10"/>
      <c r="H37" s="10"/>
      <c r="I37" s="10"/>
      <c r="J37" s="10"/>
    </row>
    <row r="38" spans="2:10" x14ac:dyDescent="0.25">
      <c r="B38" s="10"/>
      <c r="C38" s="8">
        <v>23.5982879960196</v>
      </c>
      <c r="F38" s="10"/>
      <c r="G38" s="10"/>
      <c r="H38" s="10"/>
      <c r="I38" s="10"/>
      <c r="J38" s="10"/>
    </row>
    <row r="39" spans="2:10" x14ac:dyDescent="0.25">
      <c r="B39" s="10"/>
      <c r="C39" s="8">
        <v>5.627798032129105</v>
      </c>
      <c r="F39" s="10"/>
      <c r="G39" s="10"/>
      <c r="H39" s="10"/>
      <c r="I39" s="10"/>
      <c r="J39" s="10"/>
    </row>
    <row r="40" spans="2:10" x14ac:dyDescent="0.25">
      <c r="B40" s="10"/>
      <c r="C40" s="8">
        <v>10.601723875715896</v>
      </c>
      <c r="F40" s="10"/>
      <c r="G40" s="10"/>
      <c r="H40" s="10"/>
      <c r="I40" s="10"/>
      <c r="J40" s="10"/>
    </row>
    <row r="41" spans="2:10" x14ac:dyDescent="0.25">
      <c r="B41" s="10"/>
      <c r="C41" s="8">
        <v>63.675175248914336</v>
      </c>
      <c r="F41" s="10"/>
      <c r="G41" s="10"/>
      <c r="H41" s="10"/>
      <c r="I41" s="10"/>
      <c r="J41" s="10"/>
    </row>
    <row r="42" spans="2:10" x14ac:dyDescent="0.25">
      <c r="B42" s="10"/>
      <c r="C42" s="8">
        <v>26.148830400223357</v>
      </c>
      <c r="F42" s="10"/>
      <c r="G42" s="10"/>
      <c r="H42" s="10"/>
      <c r="I42" s="10"/>
      <c r="J42" s="10"/>
    </row>
    <row r="43" spans="2:10" x14ac:dyDescent="0.25">
      <c r="B43" s="10"/>
      <c r="C43" s="8">
        <v>89.725123526047341</v>
      </c>
      <c r="F43" s="10"/>
      <c r="G43" s="10"/>
      <c r="H43" s="10"/>
      <c r="I43" s="10"/>
      <c r="J43" s="10"/>
    </row>
    <row r="44" spans="2:10" x14ac:dyDescent="0.25">
      <c r="B44" s="10"/>
      <c r="C44" s="8">
        <v>4.2119722504610619</v>
      </c>
      <c r="F44" s="10"/>
      <c r="G44" s="10"/>
      <c r="H44" s="10"/>
      <c r="I44" s="10"/>
      <c r="J44" s="10"/>
    </row>
    <row r="45" spans="2:10" x14ac:dyDescent="0.25">
      <c r="B45" s="10"/>
      <c r="C45" s="8">
        <v>100.30250924975374</v>
      </c>
      <c r="F45" s="10"/>
      <c r="G45" s="10"/>
      <c r="H45" s="10"/>
      <c r="I45" s="10"/>
      <c r="J45" s="10"/>
    </row>
    <row r="46" spans="2:10" x14ac:dyDescent="0.25">
      <c r="B46" s="10"/>
      <c r="C46" s="8">
        <v>18.39797087805286</v>
      </c>
      <c r="F46" s="10"/>
      <c r="G46" s="10"/>
      <c r="H46" s="10"/>
      <c r="I46" s="10"/>
      <c r="J46" s="10"/>
    </row>
    <row r="47" spans="2:10" x14ac:dyDescent="0.25">
      <c r="B47" s="10"/>
      <c r="C47" s="8">
        <v>89.786898325808437</v>
      </c>
      <c r="F47" s="10"/>
      <c r="G47" s="10"/>
      <c r="H47" s="10"/>
      <c r="I47" s="10"/>
      <c r="J47" s="10"/>
    </row>
    <row r="48" spans="2:10" x14ac:dyDescent="0.25">
      <c r="B48" s="10"/>
      <c r="C48" s="8">
        <v>0.87194100612070369</v>
      </c>
      <c r="F48" s="10"/>
      <c r="G48" s="10"/>
      <c r="H48" s="10"/>
      <c r="I48" s="10"/>
      <c r="J48" s="10"/>
    </row>
    <row r="49" spans="2:10" x14ac:dyDescent="0.25">
      <c r="B49" s="10"/>
      <c r="C49" s="8">
        <v>41.255090839502778</v>
      </c>
      <c r="F49" s="10"/>
      <c r="G49" s="10"/>
      <c r="H49" s="10"/>
      <c r="I49" s="10"/>
      <c r="J49" s="10"/>
    </row>
    <row r="50" spans="2:10" x14ac:dyDescent="0.25">
      <c r="B50" s="10"/>
      <c r="C50" s="8">
        <v>22.677175480666154</v>
      </c>
      <c r="F50" s="10"/>
      <c r="G50" s="10"/>
      <c r="H50" s="10"/>
      <c r="I50" s="10"/>
      <c r="J50" s="10"/>
    </row>
    <row r="51" spans="2:10" x14ac:dyDescent="0.25">
      <c r="B51" s="10"/>
      <c r="C51" s="8">
        <v>12.707100695132823</v>
      </c>
      <c r="F51" s="10"/>
      <c r="G51" s="10"/>
      <c r="H51" s="10"/>
      <c r="I51" s="10"/>
      <c r="J51" s="10"/>
    </row>
    <row r="52" spans="2:10" x14ac:dyDescent="0.25">
      <c r="B52" s="10"/>
      <c r="C52" s="8">
        <v>1.1109234981932068</v>
      </c>
      <c r="F52" s="10"/>
      <c r="G52" s="10"/>
      <c r="H52" s="10"/>
      <c r="I52" s="10"/>
      <c r="J52" s="10"/>
    </row>
    <row r="53" spans="2:10" x14ac:dyDescent="0.25">
      <c r="B53" s="10"/>
      <c r="C53" s="8">
        <v>52.867943157364671</v>
      </c>
      <c r="F53" s="10"/>
      <c r="G53" s="10"/>
      <c r="H53" s="10"/>
      <c r="I53" s="10"/>
      <c r="J53" s="10"/>
    </row>
    <row r="54" spans="2:10" x14ac:dyDescent="0.25">
      <c r="B54" s="10"/>
      <c r="C54" s="8">
        <v>45.47942455551339</v>
      </c>
    </row>
    <row r="55" spans="2:10" x14ac:dyDescent="0.25">
      <c r="B55" s="10"/>
      <c r="C55" s="8">
        <v>5.2200481844530531</v>
      </c>
    </row>
    <row r="56" spans="2:10" x14ac:dyDescent="0.25">
      <c r="B56" s="10"/>
      <c r="C56" s="8">
        <v>16.355090833712527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E18"/>
  <sheetViews>
    <sheetView workbookViewId="0">
      <selection activeCell="K24" sqref="K24"/>
    </sheetView>
  </sheetViews>
  <sheetFormatPr defaultRowHeight="15" x14ac:dyDescent="0.25"/>
  <cols>
    <col min="1" max="1" width="2.85546875" style="8" customWidth="1"/>
    <col min="2" max="2" width="13.5703125" style="8" customWidth="1"/>
    <col min="3" max="3" width="9.140625" style="8"/>
    <col min="4" max="4" width="10.28515625" style="8" customWidth="1"/>
    <col min="5" max="16384" width="9.140625" style="8"/>
  </cols>
  <sheetData>
    <row r="1" spans="2:5" ht="15.75" x14ac:dyDescent="0.25">
      <c r="B1" s="7" t="s">
        <v>48</v>
      </c>
    </row>
    <row r="2" spans="2:5" x14ac:dyDescent="0.25">
      <c r="B2" s="8" t="s">
        <v>17</v>
      </c>
    </row>
    <row r="4" spans="2:5" x14ac:dyDescent="0.25">
      <c r="B4" s="8" t="s">
        <v>104</v>
      </c>
    </row>
    <row r="5" spans="2:5" x14ac:dyDescent="0.25">
      <c r="B5" s="8" t="s">
        <v>105</v>
      </c>
    </row>
    <row r="6" spans="2:5" x14ac:dyDescent="0.25">
      <c r="B6" s="8" t="s">
        <v>18</v>
      </c>
    </row>
    <row r="7" spans="2:5" x14ac:dyDescent="0.25">
      <c r="B7" s="8" t="s">
        <v>19</v>
      </c>
    </row>
    <row r="8" spans="2:5" x14ac:dyDescent="0.25">
      <c r="B8" s="8" t="s">
        <v>52</v>
      </c>
    </row>
    <row r="9" spans="2:5" x14ac:dyDescent="0.25">
      <c r="B9" s="8" t="s">
        <v>20</v>
      </c>
    </row>
    <row r="11" spans="2:5" x14ac:dyDescent="0.25">
      <c r="B11" s="18" t="s">
        <v>21</v>
      </c>
      <c r="C11" s="19">
        <v>500000</v>
      </c>
    </row>
    <row r="12" spans="2:5" x14ac:dyDescent="0.25">
      <c r="B12" s="18" t="s">
        <v>50</v>
      </c>
      <c r="C12" s="22">
        <v>0.8</v>
      </c>
    </row>
    <row r="13" spans="2:5" x14ac:dyDescent="0.25">
      <c r="B13" s="18" t="s">
        <v>22</v>
      </c>
      <c r="C13" s="19">
        <v>2500</v>
      </c>
    </row>
    <row r="14" spans="2:5" x14ac:dyDescent="0.25">
      <c r="B14" s="18" t="s">
        <v>23</v>
      </c>
      <c r="C14" s="19">
        <v>2</v>
      </c>
    </row>
    <row r="15" spans="2:5" x14ac:dyDescent="0.25">
      <c r="B15" s="18" t="s">
        <v>24</v>
      </c>
      <c r="C15" s="19">
        <v>855</v>
      </c>
    </row>
    <row r="16" spans="2:5" x14ac:dyDescent="0.25">
      <c r="B16" s="18" t="s">
        <v>25</v>
      </c>
      <c r="C16" s="19">
        <f>1/C11*10^6</f>
        <v>2</v>
      </c>
      <c r="D16" s="8" t="s">
        <v>26</v>
      </c>
      <c r="E16" s="15" t="s">
        <v>27</v>
      </c>
    </row>
    <row r="17" spans="2:5" x14ac:dyDescent="0.25">
      <c r="B17" s="18" t="s">
        <v>28</v>
      </c>
      <c r="C17" s="19">
        <f>C14/(C15*C13) *10^6</f>
        <v>0.9356725146198831</v>
      </c>
      <c r="D17" s="8" t="s">
        <v>26</v>
      </c>
      <c r="E17" s="15" t="s">
        <v>29</v>
      </c>
    </row>
    <row r="18" spans="2:5" x14ac:dyDescent="0.25">
      <c r="B18" s="18" t="s">
        <v>30</v>
      </c>
      <c r="C18" s="19">
        <f>CHIINV(1-C12, 2*(C14+1))/(2*C13*C15) *10^6</f>
        <v>2.0018853146785189</v>
      </c>
      <c r="D18" s="8" t="s">
        <v>26</v>
      </c>
      <c r="E18" s="15" t="s">
        <v>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Q131"/>
  <sheetViews>
    <sheetView zoomScaleNormal="100" workbookViewId="0">
      <selection activeCell="P24" sqref="P24"/>
    </sheetView>
  </sheetViews>
  <sheetFormatPr defaultRowHeight="15" x14ac:dyDescent="0.25"/>
  <cols>
    <col min="1" max="1" width="3.140625" style="5" customWidth="1"/>
    <col min="2" max="5" width="9.140625" style="5"/>
    <col min="6" max="6" width="10" style="5" customWidth="1"/>
    <col min="7" max="12" width="9.140625" style="5"/>
    <col min="13" max="13" width="9.140625" style="5" customWidth="1"/>
    <col min="14" max="16384" width="9.140625" style="5"/>
  </cols>
  <sheetData>
    <row r="1" spans="2:17" ht="15.75" x14ac:dyDescent="0.25">
      <c r="B1" s="4" t="s">
        <v>49</v>
      </c>
    </row>
    <row r="2" spans="2:17" x14ac:dyDescent="0.25">
      <c r="B2" s="5" t="s">
        <v>31</v>
      </c>
    </row>
    <row r="4" spans="2:17" x14ac:dyDescent="0.25">
      <c r="B4" s="24" t="s">
        <v>32</v>
      </c>
      <c r="C4" s="25">
        <v>0.95</v>
      </c>
      <c r="E4" s="1" t="s">
        <v>106</v>
      </c>
      <c r="F4" s="8"/>
      <c r="G4" s="8"/>
    </row>
    <row r="5" spans="2:17" x14ac:dyDescent="0.25">
      <c r="B5" s="24" t="s">
        <v>35</v>
      </c>
      <c r="C5" s="32">
        <f>COUNT(B8:B16)</f>
        <v>9</v>
      </c>
      <c r="E5" s="1" t="s">
        <v>111</v>
      </c>
      <c r="F5" s="1" t="s">
        <v>112</v>
      </c>
      <c r="G5" s="1" t="s">
        <v>113</v>
      </c>
    </row>
    <row r="6" spans="2:17" x14ac:dyDescent="0.25">
      <c r="E6" s="1" t="s">
        <v>0</v>
      </c>
      <c r="F6" s="39">
        <f>C4</f>
        <v>0.95</v>
      </c>
      <c r="G6" s="3">
        <f>G7 + _xlfn.T.INV(C4,C5-1) *G13/SQRT(C5)</f>
        <v>2.4053097212539214</v>
      </c>
      <c r="Q6" s="16"/>
    </row>
    <row r="7" spans="2:17" x14ac:dyDescent="0.25">
      <c r="B7" s="18" t="s">
        <v>3</v>
      </c>
      <c r="E7" s="1" t="s">
        <v>107</v>
      </c>
      <c r="F7" s="39">
        <v>0.5</v>
      </c>
      <c r="G7" s="3">
        <f>AVERAGE(B8:B16)</f>
        <v>2.0883758578027685</v>
      </c>
    </row>
    <row r="8" spans="2:17" x14ac:dyDescent="0.25">
      <c r="B8" s="5">
        <v>2.1490502391411321</v>
      </c>
      <c r="E8" s="1" t="s">
        <v>1</v>
      </c>
      <c r="F8" s="39">
        <f>1-C4</f>
        <v>5.0000000000000044E-2</v>
      </c>
      <c r="G8" s="3">
        <f>G7 + _xlfn.T.INV(1-C4,C5-1) *G13/SQRT(C5)</f>
        <v>1.7714419943516158</v>
      </c>
    </row>
    <row r="9" spans="2:17" x14ac:dyDescent="0.25">
      <c r="B9" s="8">
        <v>2.2307178908552876</v>
      </c>
    </row>
    <row r="10" spans="2:17" x14ac:dyDescent="0.25">
      <c r="B10" s="8">
        <v>2.5080437369360378</v>
      </c>
      <c r="E10" s="40" t="s">
        <v>108</v>
      </c>
      <c r="F10" s="40"/>
    </row>
    <row r="11" spans="2:17" x14ac:dyDescent="0.25">
      <c r="B11" s="8">
        <v>2.532588534727553</v>
      </c>
      <c r="E11" s="1" t="s">
        <v>111</v>
      </c>
      <c r="F11" s="1" t="s">
        <v>112</v>
      </c>
      <c r="G11" s="1" t="s">
        <v>113</v>
      </c>
    </row>
    <row r="12" spans="2:17" x14ac:dyDescent="0.25">
      <c r="B12" s="8">
        <v>1.9505566166151092</v>
      </c>
      <c r="E12" s="1" t="s">
        <v>0</v>
      </c>
      <c r="F12" s="39">
        <f>C4</f>
        <v>0.95</v>
      </c>
      <c r="G12" s="3">
        <f>SQRT(($C$5-1)*$G$13^2/CHIINV(F12, $C$5-1))</f>
        <v>0.87485592058320794</v>
      </c>
    </row>
    <row r="13" spans="2:17" x14ac:dyDescent="0.25">
      <c r="B13" s="8">
        <v>1.1013479354823543</v>
      </c>
      <c r="E13" s="1" t="s">
        <v>107</v>
      </c>
      <c r="F13" s="39">
        <v>0.5</v>
      </c>
      <c r="G13" s="3">
        <f>STDEV(B8:B16)</f>
        <v>0.51130789372665519</v>
      </c>
    </row>
    <row r="14" spans="2:17" x14ac:dyDescent="0.25">
      <c r="B14" s="8">
        <v>2.3044370026003715</v>
      </c>
      <c r="E14" s="1" t="s">
        <v>1</v>
      </c>
      <c r="F14" s="39">
        <f>1-C4</f>
        <v>5.0000000000000044E-2</v>
      </c>
      <c r="G14" s="3">
        <f>SQRT(($C$5-1)*$G$13^2/CHIINV(F14, $C$5-1))</f>
        <v>0.36724780933756301</v>
      </c>
    </row>
    <row r="15" spans="2:17" x14ac:dyDescent="0.25">
      <c r="B15" s="8">
        <v>2.5757553799489856</v>
      </c>
    </row>
    <row r="16" spans="2:17" x14ac:dyDescent="0.25">
      <c r="B16" s="8">
        <v>1.4428853839180866</v>
      </c>
    </row>
    <row r="20" spans="2:14" x14ac:dyDescent="0.25">
      <c r="F20" s="8"/>
    </row>
    <row r="30" spans="2:14" x14ac:dyDescent="0.25">
      <c r="B30" s="8"/>
    </row>
    <row r="31" spans="2:14" x14ac:dyDescent="0.25">
      <c r="B31" s="41" t="s">
        <v>109</v>
      </c>
      <c r="C31" s="41"/>
      <c r="D31" s="41"/>
      <c r="E31" s="41"/>
      <c r="F31" s="41"/>
      <c r="G31" s="41"/>
      <c r="H31" s="41"/>
      <c r="I31" s="41"/>
      <c r="J31" s="41"/>
      <c r="K31" s="1" t="s">
        <v>106</v>
      </c>
      <c r="L31" s="1" t="s">
        <v>110</v>
      </c>
      <c r="M31" s="1" t="s">
        <v>114</v>
      </c>
      <c r="N31" s="1" t="s">
        <v>115</v>
      </c>
    </row>
    <row r="32" spans="2:14" x14ac:dyDescent="0.25">
      <c r="B32" s="5">
        <f t="shared" ref="B32:J41" ca="1" si="0">NORMINV(RAND(), $G$7, $G$13)</f>
        <v>2.0266649938243049</v>
      </c>
      <c r="C32" s="8">
        <f t="shared" ca="1" si="0"/>
        <v>2.0385932642387248</v>
      </c>
      <c r="D32" s="8">
        <f t="shared" ca="1" si="0"/>
        <v>2.4858984327658331</v>
      </c>
      <c r="E32" s="8">
        <f t="shared" ca="1" si="0"/>
        <v>2.5053969636320295</v>
      </c>
      <c r="F32" s="8">
        <f t="shared" ca="1" si="0"/>
        <v>2.0359245107989019</v>
      </c>
      <c r="G32" s="8">
        <f t="shared" ca="1" si="0"/>
        <v>1.3151082803799612</v>
      </c>
      <c r="H32" s="8">
        <f t="shared" ca="1" si="0"/>
        <v>2.0614074685289534</v>
      </c>
      <c r="I32" s="8">
        <f t="shared" ca="1" si="0"/>
        <v>1.8366940118940742</v>
      </c>
      <c r="J32" s="8">
        <f t="shared" ca="1" si="0"/>
        <v>2.7765303667103232</v>
      </c>
      <c r="K32" s="5">
        <f ca="1">AVERAGE(B32:J32)</f>
        <v>2.1202464769747893</v>
      </c>
      <c r="L32" s="5">
        <f ca="1">STDEV(B32:J32)</f>
        <v>0.42828105173111547</v>
      </c>
      <c r="M32" s="5">
        <f ca="1">((RANK(K32, $K$32:$K$131, 1)-0.3) / (100+0.4))</f>
        <v>0.58466135458167334</v>
      </c>
      <c r="N32" s="8">
        <f ca="1">((RANK(L32, $L$32:$L$131, 1)-0.3) / (100+0.4))</f>
        <v>0.39541832669322707</v>
      </c>
    </row>
    <row r="33" spans="2:14" x14ac:dyDescent="0.25">
      <c r="B33" s="8">
        <f t="shared" ca="1" si="0"/>
        <v>1.8145247088527725</v>
      </c>
      <c r="C33" s="8">
        <f t="shared" ca="1" si="0"/>
        <v>2.3278484137251749</v>
      </c>
      <c r="D33" s="8">
        <f t="shared" ca="1" si="0"/>
        <v>1.8326194864137986</v>
      </c>
      <c r="E33" s="8">
        <f t="shared" ca="1" si="0"/>
        <v>2.2555465672352235</v>
      </c>
      <c r="F33" s="8">
        <f t="shared" ca="1" si="0"/>
        <v>1.1396970881150308</v>
      </c>
      <c r="G33" s="8">
        <f t="shared" ca="1" si="0"/>
        <v>2.4375079626528766</v>
      </c>
      <c r="H33" s="8">
        <f t="shared" ca="1" si="0"/>
        <v>2.091833986901471</v>
      </c>
      <c r="I33" s="8">
        <f t="shared" ca="1" si="0"/>
        <v>1.8852791036002785</v>
      </c>
      <c r="J33" s="8">
        <f t="shared" ca="1" si="0"/>
        <v>2.337973354715142</v>
      </c>
      <c r="K33" s="8">
        <f t="shared" ref="K33:K96" ca="1" si="1">AVERAGE(B33:J33)</f>
        <v>2.0136478524679742</v>
      </c>
      <c r="L33" s="8">
        <f t="shared" ref="L33:L96" ca="1" si="2">STDEV(B33:J33)</f>
        <v>0.4032499607517443</v>
      </c>
      <c r="M33" s="8">
        <f t="shared" ref="M33:M96" ca="1" si="3">((RANK(K33, $K$32:$K$131, 1)-0.3) / (100+0.4))</f>
        <v>0.28585657370517925</v>
      </c>
      <c r="N33" s="8">
        <f t="shared" ref="N33:N96" ca="1" si="4">((RANK(L33, $L$32:$L$131, 1)-0.3) / (100+0.4))</f>
        <v>0.32569721115537847</v>
      </c>
    </row>
    <row r="34" spans="2:14" x14ac:dyDescent="0.25">
      <c r="B34" s="8">
        <f t="shared" ca="1" si="0"/>
        <v>2.3684594268675738</v>
      </c>
      <c r="C34" s="8">
        <f t="shared" ca="1" si="0"/>
        <v>2.6372311419598122</v>
      </c>
      <c r="D34" s="8">
        <f t="shared" ca="1" si="0"/>
        <v>2.1187796854952747</v>
      </c>
      <c r="E34" s="8">
        <f t="shared" ca="1" si="0"/>
        <v>2.5459562839690748</v>
      </c>
      <c r="F34" s="8">
        <f t="shared" ca="1" si="0"/>
        <v>1.412081304232323</v>
      </c>
      <c r="G34" s="8">
        <f t="shared" ca="1" si="0"/>
        <v>2.3441767844760988</v>
      </c>
      <c r="H34" s="8">
        <f t="shared" ca="1" si="0"/>
        <v>2.3891472687130553</v>
      </c>
      <c r="I34" s="8">
        <f t="shared" ca="1" si="0"/>
        <v>0.98230701532283526</v>
      </c>
      <c r="J34" s="8">
        <f t="shared" ca="1" si="0"/>
        <v>2.9229759990838726</v>
      </c>
      <c r="K34" s="8">
        <f t="shared" ca="1" si="1"/>
        <v>2.1912349900133248</v>
      </c>
      <c r="L34" s="8">
        <f t="shared" ca="1" si="2"/>
        <v>0.61522259356597908</v>
      </c>
      <c r="M34" s="8">
        <f t="shared" ca="1" si="3"/>
        <v>0.79382470119521908</v>
      </c>
      <c r="N34" s="8">
        <f t="shared" ca="1" si="4"/>
        <v>0.86354581673306774</v>
      </c>
    </row>
    <row r="35" spans="2:14" x14ac:dyDescent="0.25">
      <c r="B35" s="8">
        <f t="shared" ca="1" si="0"/>
        <v>2.0222532415286345</v>
      </c>
      <c r="C35" s="8">
        <f t="shared" ca="1" si="0"/>
        <v>1.4192463714219055</v>
      </c>
      <c r="D35" s="8">
        <f t="shared" ca="1" si="0"/>
        <v>2.2844799864497682</v>
      </c>
      <c r="E35" s="8">
        <f t="shared" ca="1" si="0"/>
        <v>2.6862214485068883</v>
      </c>
      <c r="F35" s="8">
        <f t="shared" ca="1" si="0"/>
        <v>1.9072115469710211</v>
      </c>
      <c r="G35" s="8">
        <f t="shared" ca="1" si="0"/>
        <v>2.9080332288825614</v>
      </c>
      <c r="H35" s="8">
        <f t="shared" ca="1" si="0"/>
        <v>1.7675165081875104</v>
      </c>
      <c r="I35" s="8">
        <f t="shared" ca="1" si="0"/>
        <v>1.7609819794543105</v>
      </c>
      <c r="J35" s="8">
        <f t="shared" ca="1" si="0"/>
        <v>2.1185352438089784</v>
      </c>
      <c r="K35" s="8">
        <f t="shared" ca="1" si="1"/>
        <v>2.0971643950235084</v>
      </c>
      <c r="L35" s="8">
        <f t="shared" ca="1" si="2"/>
        <v>0.46944026242831566</v>
      </c>
      <c r="M35" s="8">
        <f t="shared" ca="1" si="3"/>
        <v>0.52490039840637448</v>
      </c>
      <c r="N35" s="8">
        <f t="shared" ca="1" si="4"/>
        <v>0.51494023904382469</v>
      </c>
    </row>
    <row r="36" spans="2:14" x14ac:dyDescent="0.25">
      <c r="B36" s="8">
        <f t="shared" ca="1" si="0"/>
        <v>2.4857626460573363</v>
      </c>
      <c r="C36" s="8">
        <f t="shared" ca="1" si="0"/>
        <v>1.7405708101527402</v>
      </c>
      <c r="D36" s="8">
        <f t="shared" ca="1" si="0"/>
        <v>2.496007204112999</v>
      </c>
      <c r="E36" s="8">
        <f t="shared" ca="1" si="0"/>
        <v>1.7969073658210113</v>
      </c>
      <c r="F36" s="8">
        <f t="shared" ca="1" si="0"/>
        <v>1.9895374719372871</v>
      </c>
      <c r="G36" s="8">
        <f t="shared" ca="1" si="0"/>
        <v>2.1520965738359692</v>
      </c>
      <c r="H36" s="8">
        <f t="shared" ca="1" si="0"/>
        <v>1.8304137758273367</v>
      </c>
      <c r="I36" s="8">
        <f t="shared" ca="1" si="0"/>
        <v>2.0492991810634296</v>
      </c>
      <c r="J36" s="8">
        <f t="shared" ca="1" si="0"/>
        <v>1.6366500891089582</v>
      </c>
      <c r="K36" s="8">
        <f t="shared" ca="1" si="1"/>
        <v>2.0196939019907854</v>
      </c>
      <c r="L36" s="8">
        <f t="shared" ca="1" si="2"/>
        <v>0.31094691189813178</v>
      </c>
      <c r="M36" s="8">
        <f t="shared" ca="1" si="3"/>
        <v>0.31573705179282868</v>
      </c>
      <c r="N36" s="8">
        <f t="shared" ca="1" si="4"/>
        <v>5.6772908366533863E-2</v>
      </c>
    </row>
    <row r="37" spans="2:14" x14ac:dyDescent="0.25">
      <c r="B37" s="8">
        <f t="shared" ca="1" si="0"/>
        <v>1.5106078464706514</v>
      </c>
      <c r="C37" s="8">
        <f t="shared" ca="1" si="0"/>
        <v>1.8285996230375761</v>
      </c>
      <c r="D37" s="8">
        <f t="shared" ca="1" si="0"/>
        <v>1.6510654248329668</v>
      </c>
      <c r="E37" s="8">
        <f t="shared" ca="1" si="0"/>
        <v>2.0625541613525944</v>
      </c>
      <c r="F37" s="8">
        <f t="shared" ca="1" si="0"/>
        <v>1.980768986446495</v>
      </c>
      <c r="G37" s="8">
        <f t="shared" ca="1" si="0"/>
        <v>2.0924994616524684</v>
      </c>
      <c r="H37" s="8">
        <f t="shared" ca="1" si="0"/>
        <v>2.8988199531137964</v>
      </c>
      <c r="I37" s="8">
        <f t="shared" ca="1" si="0"/>
        <v>2.1371524126411172</v>
      </c>
      <c r="J37" s="8">
        <f t="shared" ca="1" si="0"/>
        <v>2.1393346943104712</v>
      </c>
      <c r="K37" s="8">
        <f t="shared" ca="1" si="1"/>
        <v>2.0334891737620153</v>
      </c>
      <c r="L37" s="8">
        <f t="shared" ca="1" si="2"/>
        <v>0.39361873032650063</v>
      </c>
      <c r="M37" s="8">
        <f t="shared" ca="1" si="3"/>
        <v>0.35557768924302791</v>
      </c>
      <c r="N37" s="8">
        <f t="shared" ca="1" si="4"/>
        <v>0.25597609561752988</v>
      </c>
    </row>
    <row r="38" spans="2:14" x14ac:dyDescent="0.25">
      <c r="B38" s="8">
        <f t="shared" ca="1" si="0"/>
        <v>2.3791222152095814</v>
      </c>
      <c r="C38" s="8">
        <f t="shared" ca="1" si="0"/>
        <v>2.6102608445405253</v>
      </c>
      <c r="D38" s="8">
        <f t="shared" ca="1" si="0"/>
        <v>2.0341346409112488</v>
      </c>
      <c r="E38" s="8">
        <f t="shared" ca="1" si="0"/>
        <v>2.5428159161449488</v>
      </c>
      <c r="F38" s="8">
        <f t="shared" ca="1" si="0"/>
        <v>1.7969483250243679</v>
      </c>
      <c r="G38" s="8">
        <f t="shared" ca="1" si="0"/>
        <v>1.6032362646061835</v>
      </c>
      <c r="H38" s="8">
        <f t="shared" ca="1" si="0"/>
        <v>1.846184911812546</v>
      </c>
      <c r="I38" s="8">
        <f t="shared" ca="1" si="0"/>
        <v>2.559690124349967</v>
      </c>
      <c r="J38" s="8">
        <f t="shared" ca="1" si="0"/>
        <v>3.117038683182912</v>
      </c>
      <c r="K38" s="8">
        <f t="shared" ca="1" si="1"/>
        <v>2.2766035473091426</v>
      </c>
      <c r="L38" s="8">
        <f t="shared" ca="1" si="2"/>
        <v>0.48820071747299859</v>
      </c>
      <c r="M38" s="8">
        <f t="shared" ca="1" si="3"/>
        <v>0.90338645418326691</v>
      </c>
      <c r="N38" s="8">
        <f t="shared" ca="1" si="4"/>
        <v>0.58466135458167334</v>
      </c>
    </row>
    <row r="39" spans="2:14" x14ac:dyDescent="0.25">
      <c r="B39" s="8">
        <f t="shared" ca="1" si="0"/>
        <v>2.6389494035781778</v>
      </c>
      <c r="C39" s="8">
        <f t="shared" ca="1" si="0"/>
        <v>2.5023659222203571</v>
      </c>
      <c r="D39" s="8">
        <f t="shared" ca="1" si="0"/>
        <v>2.1542739541206224</v>
      </c>
      <c r="E39" s="8">
        <f t="shared" ca="1" si="0"/>
        <v>1.6101817152395879</v>
      </c>
      <c r="F39" s="8">
        <f t="shared" ca="1" si="0"/>
        <v>2.772632389001036</v>
      </c>
      <c r="G39" s="8">
        <f t="shared" ca="1" si="0"/>
        <v>2.3918942501740439</v>
      </c>
      <c r="H39" s="8">
        <f t="shared" ca="1" si="0"/>
        <v>1.2513945160864695</v>
      </c>
      <c r="I39" s="8">
        <f t="shared" ca="1" si="0"/>
        <v>2.0202533720551679</v>
      </c>
      <c r="J39" s="8">
        <f t="shared" ca="1" si="0"/>
        <v>2.7950026191043227</v>
      </c>
      <c r="K39" s="8">
        <f t="shared" ca="1" si="1"/>
        <v>2.2374386823977539</v>
      </c>
      <c r="L39" s="8">
        <f t="shared" ca="1" si="2"/>
        <v>0.53296152569467947</v>
      </c>
      <c r="M39" s="8">
        <f t="shared" ca="1" si="3"/>
        <v>0.87350597609561753</v>
      </c>
      <c r="N39" s="8">
        <f t="shared" ca="1" si="4"/>
        <v>0.71414342629482075</v>
      </c>
    </row>
    <row r="40" spans="2:14" x14ac:dyDescent="0.25">
      <c r="B40" s="8">
        <f t="shared" ca="1" si="0"/>
        <v>2.1159671235914232</v>
      </c>
      <c r="C40" s="8">
        <f t="shared" ca="1" si="0"/>
        <v>2.5227996721785555</v>
      </c>
      <c r="D40" s="8">
        <f t="shared" ca="1" si="0"/>
        <v>2.7171885068842161</v>
      </c>
      <c r="E40" s="8">
        <f t="shared" ca="1" si="0"/>
        <v>3.225817200783192</v>
      </c>
      <c r="F40" s="8">
        <f t="shared" ca="1" si="0"/>
        <v>1.9917801703867302</v>
      </c>
      <c r="G40" s="8">
        <f t="shared" ca="1" si="0"/>
        <v>2.4812314182054296</v>
      </c>
      <c r="H40" s="8">
        <f t="shared" ca="1" si="0"/>
        <v>2.1884023776189965</v>
      </c>
      <c r="I40" s="8">
        <f t="shared" ca="1" si="0"/>
        <v>1.821118655213906</v>
      </c>
      <c r="J40" s="8">
        <f t="shared" ca="1" si="0"/>
        <v>1.7944347395694549</v>
      </c>
      <c r="K40" s="8">
        <f t="shared" ca="1" si="1"/>
        <v>2.3176377627146554</v>
      </c>
      <c r="L40" s="8">
        <f t="shared" ca="1" si="2"/>
        <v>0.46598197545254211</v>
      </c>
      <c r="M40" s="8">
        <f t="shared" ca="1" si="3"/>
        <v>0.96314741035856566</v>
      </c>
      <c r="N40" s="8">
        <f t="shared" ca="1" si="4"/>
        <v>0.48505976095617531</v>
      </c>
    </row>
    <row r="41" spans="2:14" x14ac:dyDescent="0.25">
      <c r="B41" s="8">
        <f t="shared" ca="1" si="0"/>
        <v>1.4664747331171073</v>
      </c>
      <c r="C41" s="8">
        <f t="shared" ca="1" si="0"/>
        <v>2.7968381938555931</v>
      </c>
      <c r="D41" s="8">
        <f t="shared" ca="1" si="0"/>
        <v>1.6609593350832057</v>
      </c>
      <c r="E41" s="8">
        <f t="shared" ca="1" si="0"/>
        <v>1.6971297184682657</v>
      </c>
      <c r="F41" s="8">
        <f t="shared" ca="1" si="0"/>
        <v>2.0662512409292066</v>
      </c>
      <c r="G41" s="8">
        <f t="shared" ca="1" si="0"/>
        <v>1.4989058405495204</v>
      </c>
      <c r="H41" s="8">
        <f t="shared" ca="1" si="0"/>
        <v>1.9632815818866969</v>
      </c>
      <c r="I41" s="8">
        <f t="shared" ca="1" si="0"/>
        <v>2.5627333407246744</v>
      </c>
      <c r="J41" s="8">
        <f t="shared" ca="1" si="0"/>
        <v>3.0873037933754759</v>
      </c>
      <c r="K41" s="8">
        <f t="shared" ca="1" si="1"/>
        <v>2.0888753086655272</v>
      </c>
      <c r="L41" s="8">
        <f t="shared" ca="1" si="2"/>
        <v>0.59276060626518412</v>
      </c>
      <c r="M41" s="8">
        <f t="shared" ca="1" si="3"/>
        <v>0.48505976095617531</v>
      </c>
      <c r="N41" s="8">
        <f t="shared" ca="1" si="4"/>
        <v>0.81374501992031867</v>
      </c>
    </row>
    <row r="42" spans="2:14" x14ac:dyDescent="0.25">
      <c r="B42" s="8">
        <f t="shared" ref="B42:J51" ca="1" si="5">NORMINV(RAND(), $G$7, $G$13)</f>
        <v>1.8943548778251822</v>
      </c>
      <c r="C42" s="8">
        <f t="shared" ca="1" si="5"/>
        <v>1.5551045301207669</v>
      </c>
      <c r="D42" s="8">
        <f t="shared" ca="1" si="5"/>
        <v>2.4959154347771153</v>
      </c>
      <c r="E42" s="8">
        <f t="shared" ca="1" si="5"/>
        <v>2.5644897760725818</v>
      </c>
      <c r="F42" s="8">
        <f t="shared" ca="1" si="5"/>
        <v>2.5584274096664501</v>
      </c>
      <c r="G42" s="8">
        <f t="shared" ca="1" si="5"/>
        <v>2.3003593725075873</v>
      </c>
      <c r="H42" s="8">
        <f t="shared" ca="1" si="5"/>
        <v>2.043743149535064</v>
      </c>
      <c r="I42" s="8">
        <f t="shared" ca="1" si="5"/>
        <v>2.4690624170868269</v>
      </c>
      <c r="J42" s="8">
        <f t="shared" ca="1" si="5"/>
        <v>2.6322790585089253</v>
      </c>
      <c r="K42" s="8">
        <f t="shared" ca="1" si="1"/>
        <v>2.2793040029000555</v>
      </c>
      <c r="L42" s="8">
        <f t="shared" ca="1" si="2"/>
        <v>0.3700243081505844</v>
      </c>
      <c r="M42" s="8">
        <f t="shared" ca="1" si="3"/>
        <v>0.92330677290836649</v>
      </c>
      <c r="N42" s="8">
        <f t="shared" ca="1" si="4"/>
        <v>0.15637450199203184</v>
      </c>
    </row>
    <row r="43" spans="2:14" x14ac:dyDescent="0.25">
      <c r="B43" s="8">
        <f t="shared" ca="1" si="5"/>
        <v>2.4614484299750572</v>
      </c>
      <c r="C43" s="8">
        <f t="shared" ca="1" si="5"/>
        <v>1.6588675536246056</v>
      </c>
      <c r="D43" s="8">
        <f t="shared" ca="1" si="5"/>
        <v>2.1765878736217479</v>
      </c>
      <c r="E43" s="8">
        <f t="shared" ca="1" si="5"/>
        <v>2.0993656847064606</v>
      </c>
      <c r="F43" s="8">
        <f t="shared" ca="1" si="5"/>
        <v>1.8825507128285404</v>
      </c>
      <c r="G43" s="8">
        <f t="shared" ca="1" si="5"/>
        <v>1.9165157946798164</v>
      </c>
      <c r="H43" s="8">
        <f t="shared" ca="1" si="5"/>
        <v>2.4417240741180017</v>
      </c>
      <c r="I43" s="8">
        <f t="shared" ca="1" si="5"/>
        <v>2.6252317372027663</v>
      </c>
      <c r="J43" s="8">
        <f t="shared" ca="1" si="5"/>
        <v>1.4952630476836608</v>
      </c>
      <c r="K43" s="8">
        <f t="shared" ca="1" si="1"/>
        <v>2.0841727676045174</v>
      </c>
      <c r="L43" s="8">
        <f t="shared" ca="1" si="2"/>
        <v>0.38212490499470708</v>
      </c>
      <c r="M43" s="8">
        <f t="shared" ca="1" si="3"/>
        <v>0.44521912350597609</v>
      </c>
      <c r="N43" s="8">
        <f t="shared" ca="1" si="4"/>
        <v>0.20617529880478086</v>
      </c>
    </row>
    <row r="44" spans="2:14" x14ac:dyDescent="0.25">
      <c r="B44" s="8">
        <f t="shared" ca="1" si="5"/>
        <v>2.1444940676180151</v>
      </c>
      <c r="C44" s="8">
        <f t="shared" ca="1" si="5"/>
        <v>2.1284356833565869</v>
      </c>
      <c r="D44" s="8">
        <f t="shared" ca="1" si="5"/>
        <v>2.7697057008766079</v>
      </c>
      <c r="E44" s="8">
        <f t="shared" ca="1" si="5"/>
        <v>1.8249417562224584</v>
      </c>
      <c r="F44" s="8">
        <f t="shared" ca="1" si="5"/>
        <v>2.1132813963473844</v>
      </c>
      <c r="G44" s="8">
        <f t="shared" ca="1" si="5"/>
        <v>1.6801618981805599</v>
      </c>
      <c r="H44" s="8">
        <f t="shared" ca="1" si="5"/>
        <v>1.941678887908006</v>
      </c>
      <c r="I44" s="8">
        <f t="shared" ca="1" si="5"/>
        <v>1.8465220941280989</v>
      </c>
      <c r="J44" s="8">
        <f t="shared" ca="1" si="5"/>
        <v>2.7640036077641525</v>
      </c>
      <c r="K44" s="8">
        <f t="shared" ca="1" si="1"/>
        <v>2.1348027880446518</v>
      </c>
      <c r="L44" s="8">
        <f t="shared" ca="1" si="2"/>
        <v>0.39094561778909892</v>
      </c>
      <c r="M44" s="8">
        <f t="shared" ca="1" si="3"/>
        <v>0.62450199203187251</v>
      </c>
      <c r="N44" s="8">
        <f t="shared" ca="1" si="4"/>
        <v>0.24601593625498006</v>
      </c>
    </row>
    <row r="45" spans="2:14" x14ac:dyDescent="0.25">
      <c r="B45" s="8">
        <f t="shared" ca="1" si="5"/>
        <v>2.6445009982440721</v>
      </c>
      <c r="C45" s="8">
        <f t="shared" ca="1" si="5"/>
        <v>2.5457249731608642</v>
      </c>
      <c r="D45" s="8">
        <f t="shared" ca="1" si="5"/>
        <v>2.0485423250430284</v>
      </c>
      <c r="E45" s="8">
        <f t="shared" ca="1" si="5"/>
        <v>2.035443542577839</v>
      </c>
      <c r="F45" s="8">
        <f t="shared" ca="1" si="5"/>
        <v>2.3086114920534353</v>
      </c>
      <c r="G45" s="8">
        <f t="shared" ca="1" si="5"/>
        <v>3.1916648502127023</v>
      </c>
      <c r="H45" s="8">
        <f t="shared" ca="1" si="5"/>
        <v>2.1290295983590299</v>
      </c>
      <c r="I45" s="8">
        <f t="shared" ca="1" si="5"/>
        <v>1.8243423125065052</v>
      </c>
      <c r="J45" s="8">
        <f t="shared" ca="1" si="5"/>
        <v>3.1037412369284541</v>
      </c>
      <c r="K45" s="8">
        <f t="shared" ca="1" si="1"/>
        <v>2.4257334810095479</v>
      </c>
      <c r="L45" s="8">
        <f t="shared" ca="1" si="2"/>
        <v>0.48304037877438782</v>
      </c>
      <c r="M45" s="8">
        <f t="shared" ca="1" si="3"/>
        <v>0.99302788844621515</v>
      </c>
      <c r="N45" s="8">
        <f t="shared" ca="1" si="4"/>
        <v>0.57470119521912355</v>
      </c>
    </row>
    <row r="46" spans="2:14" x14ac:dyDescent="0.25">
      <c r="B46" s="8">
        <f t="shared" ca="1" si="5"/>
        <v>1.9778932745646522</v>
      </c>
      <c r="C46" s="8">
        <f t="shared" ca="1" si="5"/>
        <v>1.9311986638074985</v>
      </c>
      <c r="D46" s="8">
        <f t="shared" ca="1" si="5"/>
        <v>2.1824772861325799</v>
      </c>
      <c r="E46" s="8">
        <f t="shared" ca="1" si="5"/>
        <v>1.5086913058515001</v>
      </c>
      <c r="F46" s="8">
        <f t="shared" ca="1" si="5"/>
        <v>1.7292646216522272</v>
      </c>
      <c r="G46" s="8">
        <f t="shared" ca="1" si="5"/>
        <v>1.6586182705269936</v>
      </c>
      <c r="H46" s="8">
        <f t="shared" ca="1" si="5"/>
        <v>1.5613393533464679</v>
      </c>
      <c r="I46" s="8">
        <f t="shared" ca="1" si="5"/>
        <v>2.601197147277611</v>
      </c>
      <c r="J46" s="8">
        <f t="shared" ca="1" si="5"/>
        <v>2.3187535451853929</v>
      </c>
      <c r="K46" s="8">
        <f t="shared" ca="1" si="1"/>
        <v>1.9410481631494361</v>
      </c>
      <c r="L46" s="8">
        <f t="shared" ca="1" si="2"/>
        <v>0.36978554226599447</v>
      </c>
      <c r="M46" s="8">
        <f t="shared" ca="1" si="3"/>
        <v>0.11653386454183265</v>
      </c>
      <c r="N46" s="8">
        <f t="shared" ca="1" si="4"/>
        <v>0.14641434262948205</v>
      </c>
    </row>
    <row r="47" spans="2:14" x14ac:dyDescent="0.25">
      <c r="B47" s="8">
        <f t="shared" ca="1" si="5"/>
        <v>1.989842425536313</v>
      </c>
      <c r="C47" s="8">
        <f t="shared" ca="1" si="5"/>
        <v>2.0250819604071002</v>
      </c>
      <c r="D47" s="8">
        <f t="shared" ca="1" si="5"/>
        <v>2.365327146095427</v>
      </c>
      <c r="E47" s="8">
        <f t="shared" ca="1" si="5"/>
        <v>2.2184881705874586</v>
      </c>
      <c r="F47" s="8">
        <f t="shared" ca="1" si="5"/>
        <v>1.8759090515882872</v>
      </c>
      <c r="G47" s="8">
        <f t="shared" ca="1" si="5"/>
        <v>2.5298514486470207</v>
      </c>
      <c r="H47" s="8">
        <f t="shared" ca="1" si="5"/>
        <v>2.186561118341531</v>
      </c>
      <c r="I47" s="8">
        <f t="shared" ca="1" si="5"/>
        <v>1.709985697892598</v>
      </c>
      <c r="J47" s="8">
        <f t="shared" ca="1" si="5"/>
        <v>2.5298444337265873</v>
      </c>
      <c r="K47" s="8">
        <f t="shared" ca="1" si="1"/>
        <v>2.1589879392024804</v>
      </c>
      <c r="L47" s="8">
        <f t="shared" ca="1" si="2"/>
        <v>0.2850939304590841</v>
      </c>
      <c r="M47" s="8">
        <f t="shared" ca="1" si="3"/>
        <v>0.72410358565737054</v>
      </c>
      <c r="N47" s="8">
        <f t="shared" ca="1" si="4"/>
        <v>3.6852589641434265E-2</v>
      </c>
    </row>
    <row r="48" spans="2:14" x14ac:dyDescent="0.25">
      <c r="B48" s="8">
        <f t="shared" ca="1" si="5"/>
        <v>1.9864977023257757</v>
      </c>
      <c r="C48" s="8">
        <f t="shared" ca="1" si="5"/>
        <v>2.5650741542897344</v>
      </c>
      <c r="D48" s="8">
        <f t="shared" ca="1" si="5"/>
        <v>1.8620046045643814</v>
      </c>
      <c r="E48" s="8">
        <f t="shared" ca="1" si="5"/>
        <v>2.254415729300363</v>
      </c>
      <c r="F48" s="8">
        <f t="shared" ca="1" si="5"/>
        <v>2.2066918961942616</v>
      </c>
      <c r="G48" s="8">
        <f t="shared" ca="1" si="5"/>
        <v>2.4208258703018739</v>
      </c>
      <c r="H48" s="8">
        <f t="shared" ca="1" si="5"/>
        <v>2.0221849585901746</v>
      </c>
      <c r="I48" s="8">
        <f t="shared" ca="1" si="5"/>
        <v>2.1956565313169776</v>
      </c>
      <c r="J48" s="8">
        <f t="shared" ca="1" si="5"/>
        <v>2.368590019865974</v>
      </c>
      <c r="K48" s="8">
        <f t="shared" ca="1" si="1"/>
        <v>2.209104607416613</v>
      </c>
      <c r="L48" s="8">
        <f t="shared" ca="1" si="2"/>
        <v>0.22477399183042041</v>
      </c>
      <c r="M48" s="8">
        <f t="shared" ca="1" si="3"/>
        <v>0.82370517928286846</v>
      </c>
      <c r="N48" s="8">
        <f t="shared" ca="1" si="4"/>
        <v>1.693227091633466E-2</v>
      </c>
    </row>
    <row r="49" spans="2:14" x14ac:dyDescent="0.25">
      <c r="B49" s="8">
        <f t="shared" ca="1" si="5"/>
        <v>2.3927822959286225</v>
      </c>
      <c r="C49" s="8">
        <f t="shared" ca="1" si="5"/>
        <v>2.5260863584431474</v>
      </c>
      <c r="D49" s="8">
        <f t="shared" ca="1" si="5"/>
        <v>2.4688156152939773</v>
      </c>
      <c r="E49" s="8">
        <f t="shared" ca="1" si="5"/>
        <v>2.1462224049190977</v>
      </c>
      <c r="F49" s="8">
        <f t="shared" ca="1" si="5"/>
        <v>2.4580357189253972</v>
      </c>
      <c r="G49" s="8">
        <f t="shared" ca="1" si="5"/>
        <v>2.0017664278336187</v>
      </c>
      <c r="H49" s="8">
        <f t="shared" ca="1" si="5"/>
        <v>2.3912137539887652</v>
      </c>
      <c r="I49" s="8">
        <f t="shared" ca="1" si="5"/>
        <v>1.2668335904500294</v>
      </c>
      <c r="J49" s="8">
        <f t="shared" ca="1" si="5"/>
        <v>1.940724240997924</v>
      </c>
      <c r="K49" s="8">
        <f t="shared" ca="1" si="1"/>
        <v>2.1769422674200647</v>
      </c>
      <c r="L49" s="8">
        <f t="shared" ca="1" si="2"/>
        <v>0.40223304943579952</v>
      </c>
      <c r="M49" s="8">
        <f t="shared" ca="1" si="3"/>
        <v>0.75398406374501992</v>
      </c>
      <c r="N49" s="8">
        <f t="shared" ca="1" si="4"/>
        <v>0.31573705179282868</v>
      </c>
    </row>
    <row r="50" spans="2:14" x14ac:dyDescent="0.25">
      <c r="B50" s="8">
        <f t="shared" ca="1" si="5"/>
        <v>2.5994201953403397</v>
      </c>
      <c r="C50" s="8">
        <f t="shared" ca="1" si="5"/>
        <v>2.0791919242125312</v>
      </c>
      <c r="D50" s="8">
        <f t="shared" ca="1" si="5"/>
        <v>0.85410331869088618</v>
      </c>
      <c r="E50" s="8">
        <f t="shared" ca="1" si="5"/>
        <v>1.708917562614523</v>
      </c>
      <c r="F50" s="8">
        <f t="shared" ca="1" si="5"/>
        <v>2.4957987833758484</v>
      </c>
      <c r="G50" s="8">
        <f t="shared" ca="1" si="5"/>
        <v>1.6023064910431302</v>
      </c>
      <c r="H50" s="8">
        <f t="shared" ca="1" si="5"/>
        <v>0.89999537022303056</v>
      </c>
      <c r="I50" s="8">
        <f t="shared" ca="1" si="5"/>
        <v>2.4993169360790453</v>
      </c>
      <c r="J50" s="8">
        <f t="shared" ca="1" si="5"/>
        <v>2.1733705885793317</v>
      </c>
      <c r="K50" s="8">
        <f t="shared" ca="1" si="1"/>
        <v>1.8791579077954077</v>
      </c>
      <c r="L50" s="8">
        <f t="shared" ca="1" si="2"/>
        <v>0.66382606246198428</v>
      </c>
      <c r="M50" s="8">
        <f t="shared" ca="1" si="3"/>
        <v>9.6613545816733051E-2</v>
      </c>
      <c r="N50" s="8">
        <f t="shared" ca="1" si="4"/>
        <v>0.92330677290836649</v>
      </c>
    </row>
    <row r="51" spans="2:14" x14ac:dyDescent="0.25">
      <c r="B51" s="8">
        <f t="shared" ca="1" si="5"/>
        <v>2.0948363683306011</v>
      </c>
      <c r="C51" s="8">
        <f t="shared" ca="1" si="5"/>
        <v>1.9148771324436114</v>
      </c>
      <c r="D51" s="8">
        <f t="shared" ca="1" si="5"/>
        <v>2.79059354563499</v>
      </c>
      <c r="E51" s="8">
        <f t="shared" ca="1" si="5"/>
        <v>2.2269045088626336</v>
      </c>
      <c r="F51" s="8">
        <f t="shared" ca="1" si="5"/>
        <v>1.990237981175532</v>
      </c>
      <c r="G51" s="8">
        <f t="shared" ca="1" si="5"/>
        <v>2.7383826477346149</v>
      </c>
      <c r="H51" s="8">
        <f t="shared" ca="1" si="5"/>
        <v>1.9675441912217706</v>
      </c>
      <c r="I51" s="8">
        <f t="shared" ca="1" si="5"/>
        <v>2.1891188992200958</v>
      </c>
      <c r="J51" s="8">
        <f t="shared" ca="1" si="5"/>
        <v>2.6494243107744051</v>
      </c>
      <c r="K51" s="8">
        <f t="shared" ca="1" si="1"/>
        <v>2.2846577317109173</v>
      </c>
      <c r="L51" s="8">
        <f t="shared" ca="1" si="2"/>
        <v>0.34773713785584293</v>
      </c>
      <c r="M51" s="8">
        <f t="shared" ca="1" si="3"/>
        <v>0.93326693227091628</v>
      </c>
      <c r="N51" s="8">
        <f t="shared" ca="1" si="4"/>
        <v>6.6733067729083662E-2</v>
      </c>
    </row>
    <row r="52" spans="2:14" x14ac:dyDescent="0.25">
      <c r="B52" s="8">
        <f t="shared" ref="B52:J61" ca="1" si="6">NORMINV(RAND(), $G$7, $G$13)</f>
        <v>2.8984694201522911</v>
      </c>
      <c r="C52" s="8">
        <f t="shared" ca="1" si="6"/>
        <v>1.792207930757852</v>
      </c>
      <c r="D52" s="8">
        <f t="shared" ca="1" si="6"/>
        <v>2.5261973357537602</v>
      </c>
      <c r="E52" s="8">
        <f t="shared" ca="1" si="6"/>
        <v>2.6969181367609041</v>
      </c>
      <c r="F52" s="8">
        <f t="shared" ca="1" si="6"/>
        <v>2.2906336393798337</v>
      </c>
      <c r="G52" s="8">
        <f t="shared" ca="1" si="6"/>
        <v>1.5375934318871205</v>
      </c>
      <c r="H52" s="8">
        <f t="shared" ca="1" si="6"/>
        <v>2.031285574406736</v>
      </c>
      <c r="I52" s="8">
        <f t="shared" ca="1" si="6"/>
        <v>1.8398302141372109</v>
      </c>
      <c r="J52" s="8">
        <f t="shared" ca="1" si="6"/>
        <v>1.6781290970567015</v>
      </c>
      <c r="K52" s="8">
        <f t="shared" ca="1" si="1"/>
        <v>2.1434738644769342</v>
      </c>
      <c r="L52" s="8">
        <f t="shared" ca="1" si="2"/>
        <v>0.48169782963515945</v>
      </c>
      <c r="M52" s="8">
        <f t="shared" ca="1" si="3"/>
        <v>0.66434262948207168</v>
      </c>
      <c r="N52" s="8">
        <f t="shared" ca="1" si="4"/>
        <v>0.55478087649402386</v>
      </c>
    </row>
    <row r="53" spans="2:14" x14ac:dyDescent="0.25">
      <c r="B53" s="8">
        <f t="shared" ca="1" si="6"/>
        <v>2.6616773800853784</v>
      </c>
      <c r="C53" s="8">
        <f t="shared" ca="1" si="6"/>
        <v>0.8482275429999715</v>
      </c>
      <c r="D53" s="8">
        <f t="shared" ca="1" si="6"/>
        <v>2.6256402153228406</v>
      </c>
      <c r="E53" s="8">
        <f t="shared" ca="1" si="6"/>
        <v>2.6268145641344502</v>
      </c>
      <c r="F53" s="8">
        <f t="shared" ca="1" si="6"/>
        <v>1.9317416476655938</v>
      </c>
      <c r="G53" s="8">
        <f t="shared" ca="1" si="6"/>
        <v>1.8700053200110416</v>
      </c>
      <c r="H53" s="8">
        <f t="shared" ca="1" si="6"/>
        <v>1.4598857565160077</v>
      </c>
      <c r="I53" s="8">
        <f t="shared" ca="1" si="6"/>
        <v>2.6546631491679724</v>
      </c>
      <c r="J53" s="8">
        <f t="shared" ca="1" si="6"/>
        <v>2.1594785682639652</v>
      </c>
      <c r="K53" s="8">
        <f t="shared" ca="1" si="1"/>
        <v>2.0931260160185801</v>
      </c>
      <c r="L53" s="8">
        <f t="shared" ca="1" si="2"/>
        <v>0.63619624519900952</v>
      </c>
      <c r="M53" s="8">
        <f t="shared" ca="1" si="3"/>
        <v>0.51494023904382469</v>
      </c>
      <c r="N53" s="8">
        <f t="shared" ca="1" si="4"/>
        <v>0.87350597609561753</v>
      </c>
    </row>
    <row r="54" spans="2:14" x14ac:dyDescent="0.25">
      <c r="B54" s="8">
        <f t="shared" ca="1" si="6"/>
        <v>1.881493982479278</v>
      </c>
      <c r="C54" s="8">
        <f t="shared" ca="1" si="6"/>
        <v>1.8638307388553974</v>
      </c>
      <c r="D54" s="8">
        <f t="shared" ca="1" si="6"/>
        <v>3.0320111910552874</v>
      </c>
      <c r="E54" s="8">
        <f t="shared" ca="1" si="6"/>
        <v>2.6881451083729231</v>
      </c>
      <c r="F54" s="8">
        <f t="shared" ca="1" si="6"/>
        <v>1.1810606296240516</v>
      </c>
      <c r="G54" s="8">
        <f t="shared" ca="1" si="6"/>
        <v>2.2866996001586504</v>
      </c>
      <c r="H54" s="8">
        <f t="shared" ca="1" si="6"/>
        <v>2.3350695743558139</v>
      </c>
      <c r="I54" s="8">
        <f t="shared" ca="1" si="6"/>
        <v>1.5207427854517939</v>
      </c>
      <c r="J54" s="8">
        <f t="shared" ca="1" si="6"/>
        <v>2.6414677895527743</v>
      </c>
      <c r="K54" s="8">
        <f t="shared" ca="1" si="1"/>
        <v>2.1589468222117745</v>
      </c>
      <c r="L54" s="8">
        <f t="shared" ca="1" si="2"/>
        <v>0.59687708924883731</v>
      </c>
      <c r="M54" s="8">
        <f t="shared" ca="1" si="3"/>
        <v>0.71414342629482075</v>
      </c>
      <c r="N54" s="8">
        <f t="shared" ca="1" si="4"/>
        <v>0.82370517928286846</v>
      </c>
    </row>
    <row r="55" spans="2:14" x14ac:dyDescent="0.25">
      <c r="B55" s="8">
        <f t="shared" ca="1" si="6"/>
        <v>1.7393382669491309</v>
      </c>
      <c r="C55" s="8">
        <f t="shared" ca="1" si="6"/>
        <v>1.7180201801948662</v>
      </c>
      <c r="D55" s="8">
        <f t="shared" ca="1" si="6"/>
        <v>2.8375392317978987</v>
      </c>
      <c r="E55" s="8">
        <f t="shared" ca="1" si="6"/>
        <v>1.3129453506304296</v>
      </c>
      <c r="F55" s="8">
        <f t="shared" ca="1" si="6"/>
        <v>2.4626405051483293</v>
      </c>
      <c r="G55" s="8">
        <f t="shared" ca="1" si="6"/>
        <v>2.0868939736220931</v>
      </c>
      <c r="H55" s="8">
        <f t="shared" ca="1" si="6"/>
        <v>2.6396466141040467</v>
      </c>
      <c r="I55" s="8">
        <f t="shared" ca="1" si="6"/>
        <v>2.1456687564974115</v>
      </c>
      <c r="J55" s="8">
        <f t="shared" ca="1" si="6"/>
        <v>2.4759712180102036</v>
      </c>
      <c r="K55" s="8">
        <f t="shared" ca="1" si="1"/>
        <v>2.1576293441060459</v>
      </c>
      <c r="L55" s="8">
        <f t="shared" ca="1" si="2"/>
        <v>0.49697242131100394</v>
      </c>
      <c r="M55" s="8">
        <f t="shared" ca="1" si="3"/>
        <v>0.70418326693227096</v>
      </c>
      <c r="N55" s="8">
        <f t="shared" ca="1" si="4"/>
        <v>0.62450199203187251</v>
      </c>
    </row>
    <row r="56" spans="2:14" x14ac:dyDescent="0.25">
      <c r="B56" s="8">
        <f t="shared" ca="1" si="6"/>
        <v>2.8426271736753685</v>
      </c>
      <c r="C56" s="8">
        <f t="shared" ca="1" si="6"/>
        <v>1.58083724094636</v>
      </c>
      <c r="D56" s="8">
        <f t="shared" ca="1" si="6"/>
        <v>1.8650092286822817</v>
      </c>
      <c r="E56" s="8">
        <f t="shared" ca="1" si="6"/>
        <v>1.8136584924043251</v>
      </c>
      <c r="F56" s="8">
        <f t="shared" ca="1" si="6"/>
        <v>2.0700201781856671</v>
      </c>
      <c r="G56" s="8">
        <f t="shared" ca="1" si="6"/>
        <v>2.1257928867974094</v>
      </c>
      <c r="H56" s="8">
        <f t="shared" ca="1" si="6"/>
        <v>1.6669432581041619</v>
      </c>
      <c r="I56" s="8">
        <f t="shared" ca="1" si="6"/>
        <v>3.0595699634526352</v>
      </c>
      <c r="J56" s="8">
        <f t="shared" ca="1" si="6"/>
        <v>2.3030755120429274</v>
      </c>
      <c r="K56" s="8">
        <f t="shared" ca="1" si="1"/>
        <v>2.147503770476793</v>
      </c>
      <c r="L56" s="8">
        <f t="shared" ca="1" si="2"/>
        <v>0.51100931008386441</v>
      </c>
      <c r="M56" s="8">
        <f t="shared" ca="1" si="3"/>
        <v>0.67430278884462147</v>
      </c>
      <c r="N56" s="8">
        <f t="shared" ca="1" si="4"/>
        <v>0.66434262948207168</v>
      </c>
    </row>
    <row r="57" spans="2:14" x14ac:dyDescent="0.25">
      <c r="B57" s="8">
        <f t="shared" ca="1" si="6"/>
        <v>1.5257509810954453</v>
      </c>
      <c r="C57" s="8">
        <f t="shared" ca="1" si="6"/>
        <v>1.3744693855913397</v>
      </c>
      <c r="D57" s="8">
        <f t="shared" ca="1" si="6"/>
        <v>1.5831880398236202</v>
      </c>
      <c r="E57" s="8">
        <f t="shared" ca="1" si="6"/>
        <v>1.533561911027808</v>
      </c>
      <c r="F57" s="8">
        <f t="shared" ca="1" si="6"/>
        <v>1.3553388138811397</v>
      </c>
      <c r="G57" s="8">
        <f t="shared" ca="1" si="6"/>
        <v>2.4217507090132129</v>
      </c>
      <c r="H57" s="8">
        <f t="shared" ca="1" si="6"/>
        <v>1.3497313331091876</v>
      </c>
      <c r="I57" s="8">
        <f t="shared" ca="1" si="6"/>
        <v>2.4608909573631994</v>
      </c>
      <c r="J57" s="8">
        <f t="shared" ca="1" si="6"/>
        <v>2.3252928065038354</v>
      </c>
      <c r="K57" s="8">
        <f t="shared" ca="1" si="1"/>
        <v>1.7699972152676431</v>
      </c>
      <c r="L57" s="8">
        <f t="shared" ca="1" si="2"/>
        <v>0.48295092695148073</v>
      </c>
      <c r="M57" s="8">
        <f t="shared" ca="1" si="3"/>
        <v>2.6892430278884463E-2</v>
      </c>
      <c r="N57" s="8">
        <f t="shared" ca="1" si="4"/>
        <v>0.56474103585657365</v>
      </c>
    </row>
    <row r="58" spans="2:14" x14ac:dyDescent="0.25">
      <c r="B58" s="8">
        <f t="shared" ca="1" si="6"/>
        <v>2.9114874435598548</v>
      </c>
      <c r="C58" s="8">
        <f t="shared" ca="1" si="6"/>
        <v>3.0328518812958833</v>
      </c>
      <c r="D58" s="8">
        <f t="shared" ca="1" si="6"/>
        <v>2.2964435561327314</v>
      </c>
      <c r="E58" s="8">
        <f t="shared" ca="1" si="6"/>
        <v>2.584090801545091</v>
      </c>
      <c r="F58" s="8">
        <f t="shared" ca="1" si="6"/>
        <v>1.8841210192611813</v>
      </c>
      <c r="G58" s="8">
        <f t="shared" ca="1" si="6"/>
        <v>2.2786862055423773</v>
      </c>
      <c r="H58" s="8">
        <f t="shared" ca="1" si="6"/>
        <v>2.2054466382496285</v>
      </c>
      <c r="I58" s="8">
        <f t="shared" ca="1" si="6"/>
        <v>1.930890335760443</v>
      </c>
      <c r="J58" s="8">
        <f t="shared" ca="1" si="6"/>
        <v>2.2793797102824618</v>
      </c>
      <c r="K58" s="8">
        <f t="shared" ca="1" si="1"/>
        <v>2.3781552879588501</v>
      </c>
      <c r="L58" s="8">
        <f t="shared" ca="1" si="2"/>
        <v>0.39619311063203883</v>
      </c>
      <c r="M58" s="8">
        <f t="shared" ca="1" si="3"/>
        <v>0.98306772908366535</v>
      </c>
      <c r="N58" s="8">
        <f t="shared" ca="1" si="4"/>
        <v>0.28585657370517925</v>
      </c>
    </row>
    <row r="59" spans="2:14" x14ac:dyDescent="0.25">
      <c r="B59" s="8">
        <f t="shared" ca="1" si="6"/>
        <v>2.0501500862894408</v>
      </c>
      <c r="C59" s="8">
        <f t="shared" ca="1" si="6"/>
        <v>3.1246177175490648</v>
      </c>
      <c r="D59" s="8">
        <f t="shared" ca="1" si="6"/>
        <v>1.5906095673872938</v>
      </c>
      <c r="E59" s="8">
        <f t="shared" ca="1" si="6"/>
        <v>1.735987452069834</v>
      </c>
      <c r="F59" s="8">
        <f t="shared" ca="1" si="6"/>
        <v>2.0079305513932018</v>
      </c>
      <c r="G59" s="8">
        <f t="shared" ca="1" si="6"/>
        <v>1.7345543281370379</v>
      </c>
      <c r="H59" s="8">
        <f t="shared" ca="1" si="6"/>
        <v>1.6685487816208098</v>
      </c>
      <c r="I59" s="8">
        <f t="shared" ca="1" si="6"/>
        <v>2.9701133504185044</v>
      </c>
      <c r="J59" s="8">
        <f t="shared" ca="1" si="6"/>
        <v>1.437181388147764</v>
      </c>
      <c r="K59" s="8">
        <f t="shared" ca="1" si="1"/>
        <v>2.0355214692236614</v>
      </c>
      <c r="L59" s="8">
        <f t="shared" ca="1" si="2"/>
        <v>0.60534041369360525</v>
      </c>
      <c r="M59" s="8">
        <f t="shared" ca="1" si="3"/>
        <v>0.3655378486055777</v>
      </c>
      <c r="N59" s="8">
        <f t="shared" ca="1" si="4"/>
        <v>0.85358565737051795</v>
      </c>
    </row>
    <row r="60" spans="2:14" x14ac:dyDescent="0.25">
      <c r="B60" s="8">
        <f t="shared" ca="1" si="6"/>
        <v>2.4259358691083754</v>
      </c>
      <c r="C60" s="8">
        <f t="shared" ca="1" si="6"/>
        <v>1.8256356335371575</v>
      </c>
      <c r="D60" s="8">
        <f t="shared" ca="1" si="6"/>
        <v>2.1483133690642418</v>
      </c>
      <c r="E60" s="8">
        <f t="shared" ca="1" si="6"/>
        <v>2.7972246704754387</v>
      </c>
      <c r="F60" s="8">
        <f t="shared" ca="1" si="6"/>
        <v>1.9866022703127204</v>
      </c>
      <c r="G60" s="8">
        <f t="shared" ca="1" si="6"/>
        <v>1.1764930119432533</v>
      </c>
      <c r="H60" s="8">
        <f t="shared" ca="1" si="6"/>
        <v>1.8880473063865986</v>
      </c>
      <c r="I60" s="8">
        <f t="shared" ca="1" si="6"/>
        <v>2.488683663545455</v>
      </c>
      <c r="J60" s="8">
        <f t="shared" ca="1" si="6"/>
        <v>2.7667005725405245</v>
      </c>
      <c r="K60" s="8">
        <f t="shared" ca="1" si="1"/>
        <v>2.1670707074348625</v>
      </c>
      <c r="L60" s="8">
        <f t="shared" ca="1" si="2"/>
        <v>0.51668327956960514</v>
      </c>
      <c r="M60" s="8">
        <f t="shared" ca="1" si="3"/>
        <v>0.74402390438247012</v>
      </c>
      <c r="N60" s="8">
        <f t="shared" ca="1" si="4"/>
        <v>0.67430278884462147</v>
      </c>
    </row>
    <row r="61" spans="2:14" x14ac:dyDescent="0.25">
      <c r="B61" s="8">
        <f t="shared" ca="1" si="6"/>
        <v>1.4967557086918979</v>
      </c>
      <c r="C61" s="8">
        <f t="shared" ca="1" si="6"/>
        <v>2.4964409596234458</v>
      </c>
      <c r="D61" s="8">
        <f t="shared" ca="1" si="6"/>
        <v>2.7392510520279587</v>
      </c>
      <c r="E61" s="8">
        <f t="shared" ca="1" si="6"/>
        <v>2.5125267325339524</v>
      </c>
      <c r="F61" s="8">
        <f t="shared" ca="1" si="6"/>
        <v>2.4257325700860464</v>
      </c>
      <c r="G61" s="8">
        <f t="shared" ca="1" si="6"/>
        <v>2.2670378983912705</v>
      </c>
      <c r="H61" s="8">
        <f t="shared" ca="1" si="6"/>
        <v>2.2283446464537517</v>
      </c>
      <c r="I61" s="8">
        <f t="shared" ca="1" si="6"/>
        <v>1.7733538398505091</v>
      </c>
      <c r="J61" s="8">
        <f t="shared" ca="1" si="6"/>
        <v>1.7107676410221204</v>
      </c>
      <c r="K61" s="8">
        <f t="shared" ca="1" si="1"/>
        <v>2.1833567831867722</v>
      </c>
      <c r="L61" s="8">
        <f t="shared" ca="1" si="2"/>
        <v>0.42515135547690791</v>
      </c>
      <c r="M61" s="8">
        <f t="shared" ca="1" si="3"/>
        <v>0.76394422310756971</v>
      </c>
      <c r="N61" s="8">
        <f t="shared" ca="1" si="4"/>
        <v>0.38545816733067728</v>
      </c>
    </row>
    <row r="62" spans="2:14" x14ac:dyDescent="0.25">
      <c r="B62" s="8">
        <f t="shared" ref="B62:J71" ca="1" si="7">NORMINV(RAND(), $G$7, $G$13)</f>
        <v>2.0705269742447845</v>
      </c>
      <c r="C62" s="8">
        <f t="shared" ca="1" si="7"/>
        <v>2.4748262596346793</v>
      </c>
      <c r="D62" s="8">
        <f t="shared" ca="1" si="7"/>
        <v>1.7753154120917363</v>
      </c>
      <c r="E62" s="8">
        <f t="shared" ca="1" si="7"/>
        <v>1.5293482911192817</v>
      </c>
      <c r="F62" s="8">
        <f t="shared" ca="1" si="7"/>
        <v>1.9995165527103156</v>
      </c>
      <c r="G62" s="8">
        <f t="shared" ca="1" si="7"/>
        <v>2.332914558745129</v>
      </c>
      <c r="H62" s="8">
        <f t="shared" ca="1" si="7"/>
        <v>1.7171530572689844</v>
      </c>
      <c r="I62" s="8">
        <f t="shared" ca="1" si="7"/>
        <v>2.1432179721057336</v>
      </c>
      <c r="J62" s="8">
        <f t="shared" ca="1" si="7"/>
        <v>2.133530162591319</v>
      </c>
      <c r="K62" s="8">
        <f t="shared" ca="1" si="1"/>
        <v>2.0195943600568849</v>
      </c>
      <c r="L62" s="8">
        <f t="shared" ca="1" si="2"/>
        <v>0.30169338689098757</v>
      </c>
      <c r="M62" s="8">
        <f t="shared" ca="1" si="3"/>
        <v>0.30577689243027883</v>
      </c>
      <c r="N62" s="8">
        <f t="shared" ca="1" si="4"/>
        <v>4.6812749003984064E-2</v>
      </c>
    </row>
    <row r="63" spans="2:14" x14ac:dyDescent="0.25">
      <c r="B63" s="8">
        <f t="shared" ca="1" si="7"/>
        <v>2.3637952120669139</v>
      </c>
      <c r="C63" s="8">
        <f t="shared" ca="1" si="7"/>
        <v>2.6958581752487021</v>
      </c>
      <c r="D63" s="8">
        <f t="shared" ca="1" si="7"/>
        <v>1.712207084754384</v>
      </c>
      <c r="E63" s="8">
        <f t="shared" ca="1" si="7"/>
        <v>2.0209515504548721</v>
      </c>
      <c r="F63" s="8">
        <f t="shared" ca="1" si="7"/>
        <v>1.3130005241896714</v>
      </c>
      <c r="G63" s="8">
        <f t="shared" ca="1" si="7"/>
        <v>2.0971981970541744</v>
      </c>
      <c r="H63" s="8">
        <f t="shared" ca="1" si="7"/>
        <v>2.6732925744003442</v>
      </c>
      <c r="I63" s="8">
        <f t="shared" ca="1" si="7"/>
        <v>1.098428966624484</v>
      </c>
      <c r="J63" s="8">
        <f t="shared" ca="1" si="7"/>
        <v>2.2991489824632976</v>
      </c>
      <c r="K63" s="8">
        <f t="shared" ca="1" si="1"/>
        <v>2.030431251917427</v>
      </c>
      <c r="L63" s="8">
        <f t="shared" ca="1" si="2"/>
        <v>0.56220034663181495</v>
      </c>
      <c r="M63" s="8">
        <f t="shared" ca="1" si="3"/>
        <v>0.34561752988047811</v>
      </c>
      <c r="N63" s="8">
        <f t="shared" ca="1" si="4"/>
        <v>0.78386454183266929</v>
      </c>
    </row>
    <row r="64" spans="2:14" x14ac:dyDescent="0.25">
      <c r="B64" s="8">
        <f t="shared" ca="1" si="7"/>
        <v>1.9353292529956734</v>
      </c>
      <c r="C64" s="8">
        <f t="shared" ca="1" si="7"/>
        <v>1.6578658003801734</v>
      </c>
      <c r="D64" s="8">
        <f t="shared" ca="1" si="7"/>
        <v>1.6238147384628356</v>
      </c>
      <c r="E64" s="8">
        <f t="shared" ca="1" si="7"/>
        <v>3.5008891033715273</v>
      </c>
      <c r="F64" s="8">
        <f t="shared" ca="1" si="7"/>
        <v>2.1011301618788072</v>
      </c>
      <c r="G64" s="8">
        <f t="shared" ca="1" si="7"/>
        <v>0.86238907428367195</v>
      </c>
      <c r="H64" s="8">
        <f t="shared" ca="1" si="7"/>
        <v>1.2646777676191587</v>
      </c>
      <c r="I64" s="8">
        <f t="shared" ca="1" si="7"/>
        <v>1.6566837014837019</v>
      </c>
      <c r="J64" s="8">
        <f t="shared" ca="1" si="7"/>
        <v>1.7564856773819086</v>
      </c>
      <c r="K64" s="8">
        <f t="shared" ca="1" si="1"/>
        <v>1.817696141984162</v>
      </c>
      <c r="L64" s="8">
        <f t="shared" ca="1" si="2"/>
        <v>0.72788729530994822</v>
      </c>
      <c r="M64" s="8">
        <f t="shared" ca="1" si="3"/>
        <v>6.6733067729083662E-2</v>
      </c>
      <c r="N64" s="8">
        <f t="shared" ca="1" si="4"/>
        <v>0.96314741035856566</v>
      </c>
    </row>
    <row r="65" spans="2:14" x14ac:dyDescent="0.25">
      <c r="B65" s="8">
        <f t="shared" ca="1" si="7"/>
        <v>0.92845274343768214</v>
      </c>
      <c r="C65" s="8">
        <f t="shared" ca="1" si="7"/>
        <v>2.4194745658695238</v>
      </c>
      <c r="D65" s="8">
        <f t="shared" ca="1" si="7"/>
        <v>2.5425813675845217</v>
      </c>
      <c r="E65" s="8">
        <f t="shared" ca="1" si="7"/>
        <v>2.4086151468886778</v>
      </c>
      <c r="F65" s="8">
        <f t="shared" ca="1" si="7"/>
        <v>2.058743745179143</v>
      </c>
      <c r="G65" s="8">
        <f t="shared" ca="1" si="7"/>
        <v>1.1524696854032461</v>
      </c>
      <c r="H65" s="8">
        <f t="shared" ca="1" si="7"/>
        <v>2.2621687458102659</v>
      </c>
      <c r="I65" s="8">
        <f t="shared" ca="1" si="7"/>
        <v>1.6449848212925615</v>
      </c>
      <c r="J65" s="8">
        <f t="shared" ca="1" si="7"/>
        <v>2.4404843479087859</v>
      </c>
      <c r="K65" s="8">
        <f t="shared" ca="1" si="1"/>
        <v>1.9842194632638233</v>
      </c>
      <c r="L65" s="8">
        <f t="shared" ca="1" si="2"/>
        <v>0.60144048292624441</v>
      </c>
      <c r="M65" s="8">
        <f t="shared" ca="1" si="3"/>
        <v>0.22609561752988047</v>
      </c>
      <c r="N65" s="8">
        <f t="shared" ca="1" si="4"/>
        <v>0.84362549800796816</v>
      </c>
    </row>
    <row r="66" spans="2:14" x14ac:dyDescent="0.25">
      <c r="B66" s="8">
        <f t="shared" ca="1" si="7"/>
        <v>1.8021486928454411</v>
      </c>
      <c r="C66" s="8">
        <f t="shared" ca="1" si="7"/>
        <v>1.9470938588410418</v>
      </c>
      <c r="D66" s="8">
        <f t="shared" ca="1" si="7"/>
        <v>1.8404315331052981</v>
      </c>
      <c r="E66" s="8">
        <f t="shared" ca="1" si="7"/>
        <v>1.7308172270711446</v>
      </c>
      <c r="F66" s="8">
        <f t="shared" ca="1" si="7"/>
        <v>2.7153981645395904</v>
      </c>
      <c r="G66" s="8">
        <f t="shared" ca="1" si="7"/>
        <v>1.7049414405564305</v>
      </c>
      <c r="H66" s="8">
        <f t="shared" ca="1" si="7"/>
        <v>2.2650340920294352</v>
      </c>
      <c r="I66" s="8">
        <f t="shared" ca="1" si="7"/>
        <v>1.9461360025463457</v>
      </c>
      <c r="J66" s="8">
        <f t="shared" ca="1" si="7"/>
        <v>2.8226423439441448</v>
      </c>
      <c r="K66" s="8">
        <f t="shared" ca="1" si="1"/>
        <v>2.0860714839420971</v>
      </c>
      <c r="L66" s="8">
        <f t="shared" ca="1" si="2"/>
        <v>0.42159368335948533</v>
      </c>
      <c r="M66" s="8">
        <f t="shared" ca="1" si="3"/>
        <v>0.45517928286852588</v>
      </c>
      <c r="N66" s="8">
        <f t="shared" ca="1" si="4"/>
        <v>0.37549800796812749</v>
      </c>
    </row>
    <row r="67" spans="2:14" x14ac:dyDescent="0.25">
      <c r="B67" s="8">
        <f t="shared" ca="1" si="7"/>
        <v>2.1742320794532515</v>
      </c>
      <c r="C67" s="8">
        <f t="shared" ca="1" si="7"/>
        <v>2.1943326155509557</v>
      </c>
      <c r="D67" s="8">
        <f t="shared" ca="1" si="7"/>
        <v>2.1365094289647666</v>
      </c>
      <c r="E67" s="8">
        <f t="shared" ca="1" si="7"/>
        <v>2.0593742043051062</v>
      </c>
      <c r="F67" s="8">
        <f t="shared" ca="1" si="7"/>
        <v>2.5806166268690207</v>
      </c>
      <c r="G67" s="8">
        <f t="shared" ca="1" si="7"/>
        <v>1.2161206934993654</v>
      </c>
      <c r="H67" s="8">
        <f t="shared" ca="1" si="7"/>
        <v>2.4704041596933912</v>
      </c>
      <c r="I67" s="8">
        <f t="shared" ca="1" si="7"/>
        <v>1.8904837311483536</v>
      </c>
      <c r="J67" s="8">
        <f t="shared" ca="1" si="7"/>
        <v>1.9054552428893374</v>
      </c>
      <c r="K67" s="8">
        <f t="shared" ca="1" si="1"/>
        <v>2.0697254202637279</v>
      </c>
      <c r="L67" s="8">
        <f t="shared" ca="1" si="2"/>
        <v>0.39375157578825387</v>
      </c>
      <c r="M67" s="8">
        <f t="shared" ca="1" si="3"/>
        <v>0.4252988047808765</v>
      </c>
      <c r="N67" s="8">
        <f t="shared" ca="1" si="4"/>
        <v>0.26593625498007967</v>
      </c>
    </row>
    <row r="68" spans="2:14" x14ac:dyDescent="0.25">
      <c r="B68" s="8">
        <f t="shared" ca="1" si="7"/>
        <v>2.1967982758392646</v>
      </c>
      <c r="C68" s="8">
        <f t="shared" ca="1" si="7"/>
        <v>2.2286516089695998</v>
      </c>
      <c r="D68" s="8">
        <f t="shared" ca="1" si="7"/>
        <v>1.3384064557164721</v>
      </c>
      <c r="E68" s="8">
        <f t="shared" ca="1" si="7"/>
        <v>1.821265394750242</v>
      </c>
      <c r="F68" s="8">
        <f t="shared" ca="1" si="7"/>
        <v>2.6147986527391729</v>
      </c>
      <c r="G68" s="8">
        <f t="shared" ca="1" si="7"/>
        <v>2.2513551909173364</v>
      </c>
      <c r="H68" s="8">
        <f t="shared" ca="1" si="7"/>
        <v>1.6475211844009963</v>
      </c>
      <c r="I68" s="8">
        <f t="shared" ca="1" si="7"/>
        <v>2.2604740988706502</v>
      </c>
      <c r="J68" s="8">
        <f t="shared" ca="1" si="7"/>
        <v>2.214770133505902</v>
      </c>
      <c r="K68" s="8">
        <f t="shared" ca="1" si="1"/>
        <v>2.063782332856626</v>
      </c>
      <c r="L68" s="8">
        <f t="shared" ca="1" si="2"/>
        <v>0.38784994199321488</v>
      </c>
      <c r="M68" s="8">
        <f t="shared" ca="1" si="3"/>
        <v>0.41533864541832671</v>
      </c>
      <c r="N68" s="8">
        <f t="shared" ca="1" si="4"/>
        <v>0.21613545816733065</v>
      </c>
    </row>
    <row r="69" spans="2:14" x14ac:dyDescent="0.25">
      <c r="B69" s="8">
        <f t="shared" ca="1" si="7"/>
        <v>3.0059165280589832</v>
      </c>
      <c r="C69" s="8">
        <f t="shared" ca="1" si="7"/>
        <v>1.4784276552867746</v>
      </c>
      <c r="D69" s="8">
        <f t="shared" ca="1" si="7"/>
        <v>1.8226715715797479</v>
      </c>
      <c r="E69" s="8">
        <f t="shared" ca="1" si="7"/>
        <v>2.4201531416573232</v>
      </c>
      <c r="F69" s="8">
        <f t="shared" ca="1" si="7"/>
        <v>1.6744737977421194</v>
      </c>
      <c r="G69" s="8">
        <f t="shared" ca="1" si="7"/>
        <v>1.3779116479682909</v>
      </c>
      <c r="H69" s="8">
        <f t="shared" ca="1" si="7"/>
        <v>2.1712156820037212</v>
      </c>
      <c r="I69" s="8">
        <f t="shared" ca="1" si="7"/>
        <v>2.5809230783941524</v>
      </c>
      <c r="J69" s="8">
        <f t="shared" ca="1" si="7"/>
        <v>0.97476795947865891</v>
      </c>
      <c r="K69" s="8">
        <f t="shared" ca="1" si="1"/>
        <v>1.9451623402410858</v>
      </c>
      <c r="L69" s="8">
        <f t="shared" ca="1" si="2"/>
        <v>0.64958291248965572</v>
      </c>
      <c r="M69" s="8">
        <f t="shared" ca="1" si="3"/>
        <v>0.12649402390438247</v>
      </c>
      <c r="N69" s="8">
        <f t="shared" ca="1" si="4"/>
        <v>0.9133466135458167</v>
      </c>
    </row>
    <row r="70" spans="2:14" x14ac:dyDescent="0.25">
      <c r="B70" s="8">
        <f t="shared" ca="1" si="7"/>
        <v>1.6422475123471623</v>
      </c>
      <c r="C70" s="8">
        <f t="shared" ca="1" si="7"/>
        <v>1.8645087221123584</v>
      </c>
      <c r="D70" s="8">
        <f t="shared" ca="1" si="7"/>
        <v>2.24771175965419</v>
      </c>
      <c r="E70" s="8">
        <f t="shared" ca="1" si="7"/>
        <v>2.5088464184132806</v>
      </c>
      <c r="F70" s="8">
        <f t="shared" ca="1" si="7"/>
        <v>1.7144641145044786</v>
      </c>
      <c r="G70" s="8">
        <f t="shared" ca="1" si="7"/>
        <v>2.6118134874947039</v>
      </c>
      <c r="H70" s="8">
        <f t="shared" ca="1" si="7"/>
        <v>2.3498165042210069</v>
      </c>
      <c r="I70" s="8">
        <f t="shared" ca="1" si="7"/>
        <v>1.7764903923177622</v>
      </c>
      <c r="J70" s="8">
        <f t="shared" ca="1" si="7"/>
        <v>2.0629410660230949</v>
      </c>
      <c r="K70" s="8">
        <f t="shared" ca="1" si="1"/>
        <v>2.0865377752320047</v>
      </c>
      <c r="L70" s="8">
        <f t="shared" ca="1" si="2"/>
        <v>0.35905564294747738</v>
      </c>
      <c r="M70" s="8">
        <f t="shared" ca="1" si="3"/>
        <v>0.46513944223107567</v>
      </c>
      <c r="N70" s="8">
        <f t="shared" ca="1" si="4"/>
        <v>9.6613545816733051E-2</v>
      </c>
    </row>
    <row r="71" spans="2:14" x14ac:dyDescent="0.25">
      <c r="B71" s="8">
        <f t="shared" ca="1" si="7"/>
        <v>1.657098215747034</v>
      </c>
      <c r="C71" s="8">
        <f t="shared" ca="1" si="7"/>
        <v>1.327123303021605</v>
      </c>
      <c r="D71" s="8">
        <f t="shared" ca="1" si="7"/>
        <v>2.4830530481093183</v>
      </c>
      <c r="E71" s="8">
        <f t="shared" ca="1" si="7"/>
        <v>2.6591147467845397</v>
      </c>
      <c r="F71" s="8">
        <f t="shared" ca="1" si="7"/>
        <v>2.1386137529835132</v>
      </c>
      <c r="G71" s="8">
        <f t="shared" ca="1" si="7"/>
        <v>2.8140237023043477</v>
      </c>
      <c r="H71" s="8">
        <f t="shared" ca="1" si="7"/>
        <v>2.2776222607974419</v>
      </c>
      <c r="I71" s="8">
        <f t="shared" ca="1" si="7"/>
        <v>1.856296573556246</v>
      </c>
      <c r="J71" s="8">
        <f t="shared" ca="1" si="7"/>
        <v>1.6238362781108824</v>
      </c>
      <c r="K71" s="8">
        <f t="shared" ca="1" si="1"/>
        <v>2.0929757646016585</v>
      </c>
      <c r="L71" s="8">
        <f t="shared" ca="1" si="2"/>
        <v>0.51007218178220881</v>
      </c>
      <c r="M71" s="8">
        <f t="shared" ca="1" si="3"/>
        <v>0.5049800796812749</v>
      </c>
      <c r="N71" s="8">
        <f t="shared" ca="1" si="4"/>
        <v>0.65438247011952189</v>
      </c>
    </row>
    <row r="72" spans="2:14" x14ac:dyDescent="0.25">
      <c r="B72" s="8">
        <f t="shared" ref="B72:J81" ca="1" si="8">NORMINV(RAND(), $G$7, $G$13)</f>
        <v>2.3281620465638624</v>
      </c>
      <c r="C72" s="8">
        <f t="shared" ca="1" si="8"/>
        <v>2.5973172754106391</v>
      </c>
      <c r="D72" s="8">
        <f t="shared" ca="1" si="8"/>
        <v>2.6319228141151276</v>
      </c>
      <c r="E72" s="8">
        <f t="shared" ca="1" si="8"/>
        <v>2.8094872153161567</v>
      </c>
      <c r="F72" s="8">
        <f t="shared" ca="1" si="8"/>
        <v>1.7655993280201228</v>
      </c>
      <c r="G72" s="8">
        <f t="shared" ca="1" si="8"/>
        <v>1.6122640980736758</v>
      </c>
      <c r="H72" s="8">
        <f t="shared" ca="1" si="8"/>
        <v>2.7818266270394654</v>
      </c>
      <c r="I72" s="8">
        <f t="shared" ca="1" si="8"/>
        <v>1.7927923371154715</v>
      </c>
      <c r="J72" s="8">
        <f t="shared" ca="1" si="8"/>
        <v>1.7872821415728941</v>
      </c>
      <c r="K72" s="8">
        <f t="shared" ca="1" si="1"/>
        <v>2.2340726536919351</v>
      </c>
      <c r="L72" s="8">
        <f t="shared" ca="1" si="2"/>
        <v>0.49125906715271161</v>
      </c>
      <c r="M72" s="8">
        <f t="shared" ca="1" si="3"/>
        <v>0.86354581673306774</v>
      </c>
      <c r="N72" s="8">
        <f t="shared" ca="1" si="4"/>
        <v>0.60458167330677293</v>
      </c>
    </row>
    <row r="73" spans="2:14" x14ac:dyDescent="0.25">
      <c r="B73" s="8">
        <f t="shared" ca="1" si="8"/>
        <v>1.8649006139206454</v>
      </c>
      <c r="C73" s="8">
        <f t="shared" ca="1" si="8"/>
        <v>2.0011386420967843</v>
      </c>
      <c r="D73" s="8">
        <f t="shared" ca="1" si="8"/>
        <v>2.7849398687767719</v>
      </c>
      <c r="E73" s="8">
        <f t="shared" ca="1" si="8"/>
        <v>2.0253652120111933</v>
      </c>
      <c r="F73" s="8">
        <f t="shared" ca="1" si="8"/>
        <v>1.8055305026770496</v>
      </c>
      <c r="G73" s="8">
        <f t="shared" ca="1" si="8"/>
        <v>1.3757946430785581</v>
      </c>
      <c r="H73" s="8">
        <f t="shared" ca="1" si="8"/>
        <v>2.1916439055862753</v>
      </c>
      <c r="I73" s="8">
        <f t="shared" ca="1" si="8"/>
        <v>2.2739177071367358</v>
      </c>
      <c r="J73" s="8">
        <f t="shared" ca="1" si="8"/>
        <v>2.0516256794105092</v>
      </c>
      <c r="K73" s="8">
        <f t="shared" ca="1" si="1"/>
        <v>2.0416507527438359</v>
      </c>
      <c r="L73" s="8">
        <f t="shared" ca="1" si="2"/>
        <v>0.3810000469107277</v>
      </c>
      <c r="M73" s="8">
        <f t="shared" ca="1" si="3"/>
        <v>0.37549800796812749</v>
      </c>
      <c r="N73" s="8">
        <f t="shared" ca="1" si="4"/>
        <v>0.19621513944223107</v>
      </c>
    </row>
    <row r="74" spans="2:14" x14ac:dyDescent="0.25">
      <c r="B74" s="8">
        <f t="shared" ca="1" si="8"/>
        <v>2.7886778000683807</v>
      </c>
      <c r="C74" s="8">
        <f t="shared" ca="1" si="8"/>
        <v>2.3048130194474945</v>
      </c>
      <c r="D74" s="8">
        <f t="shared" ca="1" si="8"/>
        <v>2.0090039888021836</v>
      </c>
      <c r="E74" s="8">
        <f t="shared" ca="1" si="8"/>
        <v>1.885972639656829</v>
      </c>
      <c r="F74" s="8">
        <f t="shared" ca="1" si="8"/>
        <v>1.4567017165867693</v>
      </c>
      <c r="G74" s="8">
        <f t="shared" ca="1" si="8"/>
        <v>1.6808533396023724</v>
      </c>
      <c r="H74" s="8">
        <f t="shared" ca="1" si="8"/>
        <v>2.6671084210654721</v>
      </c>
      <c r="I74" s="8">
        <f t="shared" ca="1" si="8"/>
        <v>1.8869000532277089</v>
      </c>
      <c r="J74" s="8">
        <f t="shared" ca="1" si="8"/>
        <v>2.409159995523853</v>
      </c>
      <c r="K74" s="8">
        <f t="shared" ca="1" si="1"/>
        <v>2.1210212193312294</v>
      </c>
      <c r="L74" s="8">
        <f t="shared" ca="1" si="2"/>
        <v>0.44978557406098796</v>
      </c>
      <c r="M74" s="8">
        <f t="shared" ca="1" si="3"/>
        <v>0.59462151394422313</v>
      </c>
      <c r="N74" s="8">
        <f t="shared" ca="1" si="4"/>
        <v>0.4252988047808765</v>
      </c>
    </row>
    <row r="75" spans="2:14" x14ac:dyDescent="0.25">
      <c r="B75" s="8">
        <f t="shared" ca="1" si="8"/>
        <v>2.6749134316106158</v>
      </c>
      <c r="C75" s="8">
        <f t="shared" ca="1" si="8"/>
        <v>1.8749585110638718</v>
      </c>
      <c r="D75" s="8">
        <f t="shared" ca="1" si="8"/>
        <v>2.3630789882417802</v>
      </c>
      <c r="E75" s="8">
        <f t="shared" ca="1" si="8"/>
        <v>0.9918773163825938</v>
      </c>
      <c r="F75" s="8">
        <f t="shared" ca="1" si="8"/>
        <v>2.6966241760088479</v>
      </c>
      <c r="G75" s="8">
        <f t="shared" ca="1" si="8"/>
        <v>0.92168950468348676</v>
      </c>
      <c r="H75" s="8">
        <f t="shared" ca="1" si="8"/>
        <v>1.4323150020941495</v>
      </c>
      <c r="I75" s="8">
        <f t="shared" ca="1" si="8"/>
        <v>2.1841260989371252</v>
      </c>
      <c r="J75" s="8">
        <f t="shared" ca="1" si="8"/>
        <v>0.94415195338537861</v>
      </c>
      <c r="K75" s="8">
        <f t="shared" ca="1" si="1"/>
        <v>1.7870816647119834</v>
      </c>
      <c r="L75" s="8">
        <f t="shared" ca="1" si="2"/>
        <v>0.73572207686911673</v>
      </c>
      <c r="M75" s="8">
        <f t="shared" ca="1" si="3"/>
        <v>3.6852589641434265E-2</v>
      </c>
      <c r="N75" s="8">
        <f t="shared" ca="1" si="4"/>
        <v>0.97310756972111556</v>
      </c>
    </row>
    <row r="76" spans="2:14" x14ac:dyDescent="0.25">
      <c r="B76" s="8">
        <f t="shared" ca="1" si="8"/>
        <v>1.6783727486712399</v>
      </c>
      <c r="C76" s="8">
        <f t="shared" ca="1" si="8"/>
        <v>2.8431370066911725</v>
      </c>
      <c r="D76" s="8">
        <f t="shared" ca="1" si="8"/>
        <v>2.1755039046016087</v>
      </c>
      <c r="E76" s="8">
        <f t="shared" ca="1" si="8"/>
        <v>2.9981580183990424</v>
      </c>
      <c r="F76" s="8">
        <f t="shared" ca="1" si="8"/>
        <v>3.1583856512417121</v>
      </c>
      <c r="G76" s="8">
        <f t="shared" ca="1" si="8"/>
        <v>1.6326370397754202</v>
      </c>
      <c r="H76" s="8">
        <f t="shared" ca="1" si="8"/>
        <v>1.3796581410149766</v>
      </c>
      <c r="I76" s="8">
        <f t="shared" ca="1" si="8"/>
        <v>2.0121612420629087</v>
      </c>
      <c r="J76" s="8">
        <f t="shared" ca="1" si="8"/>
        <v>1.518725674135061</v>
      </c>
      <c r="K76" s="8">
        <f t="shared" ca="1" si="1"/>
        <v>2.1551932696214604</v>
      </c>
      <c r="L76" s="8">
        <f t="shared" ca="1" si="2"/>
        <v>0.68173403435227908</v>
      </c>
      <c r="M76" s="8">
        <f t="shared" ca="1" si="3"/>
        <v>0.69422310756972105</v>
      </c>
      <c r="N76" s="8">
        <f t="shared" ca="1" si="4"/>
        <v>0.95318725099601587</v>
      </c>
    </row>
    <row r="77" spans="2:14" x14ac:dyDescent="0.25">
      <c r="B77" s="8">
        <f t="shared" ca="1" si="8"/>
        <v>1.662882420530434</v>
      </c>
      <c r="C77" s="8">
        <f t="shared" ca="1" si="8"/>
        <v>1.5229700258217884</v>
      </c>
      <c r="D77" s="8">
        <f t="shared" ca="1" si="8"/>
        <v>2.4319548046482451</v>
      </c>
      <c r="E77" s="8">
        <f t="shared" ca="1" si="8"/>
        <v>1.1129766509786836</v>
      </c>
      <c r="F77" s="8">
        <f t="shared" ca="1" si="8"/>
        <v>2.1166638206717372</v>
      </c>
      <c r="G77" s="8">
        <f t="shared" ca="1" si="8"/>
        <v>2.1373006787609383</v>
      </c>
      <c r="H77" s="8">
        <f t="shared" ca="1" si="8"/>
        <v>2.8194600445220637</v>
      </c>
      <c r="I77" s="8">
        <f t="shared" ca="1" si="8"/>
        <v>1.427936643436011</v>
      </c>
      <c r="J77" s="8">
        <f t="shared" ca="1" si="8"/>
        <v>2.5168419790255294</v>
      </c>
      <c r="K77" s="8">
        <f t="shared" ca="1" si="1"/>
        <v>1.9721096742661592</v>
      </c>
      <c r="L77" s="8">
        <f t="shared" ca="1" si="2"/>
        <v>0.57074065962681786</v>
      </c>
      <c r="M77" s="8">
        <f t="shared" ca="1" si="3"/>
        <v>0.17629482071713146</v>
      </c>
      <c r="N77" s="8">
        <f t="shared" ca="1" si="4"/>
        <v>0.79382470119521908</v>
      </c>
    </row>
    <row r="78" spans="2:14" x14ac:dyDescent="0.25">
      <c r="B78" s="8">
        <f t="shared" ca="1" si="8"/>
        <v>2.4325079600483042</v>
      </c>
      <c r="C78" s="8">
        <f t="shared" ca="1" si="8"/>
        <v>2.5822312840289237</v>
      </c>
      <c r="D78" s="8">
        <f t="shared" ca="1" si="8"/>
        <v>2.303265894254904</v>
      </c>
      <c r="E78" s="8">
        <f t="shared" ca="1" si="8"/>
        <v>2.0400397678821127</v>
      </c>
      <c r="F78" s="8">
        <f t="shared" ca="1" si="8"/>
        <v>2.0993194468981242</v>
      </c>
      <c r="G78" s="8">
        <f t="shared" ca="1" si="8"/>
        <v>2.4173928250862269</v>
      </c>
      <c r="H78" s="8">
        <f t="shared" ca="1" si="8"/>
        <v>1.7561436234696015</v>
      </c>
      <c r="I78" s="8">
        <f t="shared" ca="1" si="8"/>
        <v>1.9145167724278624</v>
      </c>
      <c r="J78" s="8">
        <f t="shared" ca="1" si="8"/>
        <v>1.4854957594774549</v>
      </c>
      <c r="K78" s="8">
        <f t="shared" ca="1" si="1"/>
        <v>2.1145459259526129</v>
      </c>
      <c r="L78" s="8">
        <f t="shared" ca="1" si="2"/>
        <v>0.35656554760630838</v>
      </c>
      <c r="M78" s="8">
        <f t="shared" ca="1" si="3"/>
        <v>0.56474103585657365</v>
      </c>
      <c r="N78" s="8">
        <f t="shared" ca="1" si="4"/>
        <v>7.6693227091633467E-2</v>
      </c>
    </row>
    <row r="79" spans="2:14" x14ac:dyDescent="0.25">
      <c r="B79" s="8">
        <f t="shared" ca="1" si="8"/>
        <v>2.3118182265388767</v>
      </c>
      <c r="C79" s="8">
        <f t="shared" ca="1" si="8"/>
        <v>1.9085834390686132</v>
      </c>
      <c r="D79" s="8">
        <f t="shared" ca="1" si="8"/>
        <v>2.2696653350336193</v>
      </c>
      <c r="E79" s="8">
        <f t="shared" ca="1" si="8"/>
        <v>1.9173921899228186</v>
      </c>
      <c r="F79" s="8">
        <f t="shared" ca="1" si="8"/>
        <v>1.8566502491379888</v>
      </c>
      <c r="G79" s="8">
        <f t="shared" ca="1" si="8"/>
        <v>1.415175762755801</v>
      </c>
      <c r="H79" s="8">
        <f t="shared" ca="1" si="8"/>
        <v>2.6979646975422416</v>
      </c>
      <c r="I79" s="8">
        <f t="shared" ca="1" si="8"/>
        <v>1.2796027393848133</v>
      </c>
      <c r="J79" s="8">
        <f t="shared" ca="1" si="8"/>
        <v>2.3005154686067399</v>
      </c>
      <c r="K79" s="8">
        <f t="shared" ca="1" si="1"/>
        <v>1.9952631231101681</v>
      </c>
      <c r="L79" s="8">
        <f t="shared" ca="1" si="2"/>
        <v>0.45331199434335195</v>
      </c>
      <c r="M79" s="8">
        <f t="shared" ca="1" si="3"/>
        <v>0.23605577689243026</v>
      </c>
      <c r="N79" s="8">
        <f t="shared" ca="1" si="4"/>
        <v>0.44521912350597609</v>
      </c>
    </row>
    <row r="80" spans="2:14" x14ac:dyDescent="0.25">
      <c r="B80" s="8">
        <f t="shared" ca="1" si="8"/>
        <v>2.2802895645141472</v>
      </c>
      <c r="C80" s="8">
        <f t="shared" ca="1" si="8"/>
        <v>1.8137525588561609</v>
      </c>
      <c r="D80" s="8">
        <f t="shared" ca="1" si="8"/>
        <v>0.86866505138078631</v>
      </c>
      <c r="E80" s="8">
        <f t="shared" ca="1" si="8"/>
        <v>2.019198793098596</v>
      </c>
      <c r="F80" s="8">
        <f t="shared" ca="1" si="8"/>
        <v>1.799058470535619</v>
      </c>
      <c r="G80" s="8">
        <f t="shared" ca="1" si="8"/>
        <v>1.6753099130505502</v>
      </c>
      <c r="H80" s="8">
        <f t="shared" ca="1" si="8"/>
        <v>1.9478198418292081</v>
      </c>
      <c r="I80" s="8">
        <f t="shared" ca="1" si="8"/>
        <v>1.9368614256893928</v>
      </c>
      <c r="J80" s="8">
        <f t="shared" ca="1" si="8"/>
        <v>2.5165869649454957</v>
      </c>
      <c r="K80" s="8">
        <f t="shared" ca="1" si="1"/>
        <v>1.8730602870999951</v>
      </c>
      <c r="L80" s="8">
        <f t="shared" ca="1" si="2"/>
        <v>0.45660253286948699</v>
      </c>
      <c r="M80" s="8">
        <f t="shared" ca="1" si="3"/>
        <v>8.6653386454183259E-2</v>
      </c>
      <c r="N80" s="8">
        <f t="shared" ca="1" si="4"/>
        <v>0.45517928286852588</v>
      </c>
    </row>
    <row r="81" spans="2:14" x14ac:dyDescent="0.25">
      <c r="B81" s="8">
        <f t="shared" ca="1" si="8"/>
        <v>2.4665710850376015</v>
      </c>
      <c r="C81" s="8">
        <f t="shared" ca="1" si="8"/>
        <v>2.5112422374099759</v>
      </c>
      <c r="D81" s="8">
        <f t="shared" ca="1" si="8"/>
        <v>2.5957859314920784</v>
      </c>
      <c r="E81" s="8">
        <f t="shared" ca="1" si="8"/>
        <v>1.8621048012499337</v>
      </c>
      <c r="F81" s="8">
        <f t="shared" ca="1" si="8"/>
        <v>2.089400336018076</v>
      </c>
      <c r="G81" s="8">
        <f t="shared" ca="1" si="8"/>
        <v>1.7176192802006129</v>
      </c>
      <c r="H81" s="8">
        <f t="shared" ca="1" si="8"/>
        <v>1.7763202992343587</v>
      </c>
      <c r="I81" s="8">
        <f t="shared" ca="1" si="8"/>
        <v>1.6444543721381071</v>
      </c>
      <c r="J81" s="8">
        <f t="shared" ca="1" si="8"/>
        <v>2.6144948757654047</v>
      </c>
      <c r="K81" s="8">
        <f t="shared" ca="1" si="1"/>
        <v>2.1419992465051276</v>
      </c>
      <c r="L81" s="8">
        <f t="shared" ca="1" si="2"/>
        <v>0.40517583158394332</v>
      </c>
      <c r="M81" s="8">
        <f t="shared" ca="1" si="3"/>
        <v>0.65438247011952189</v>
      </c>
      <c r="N81" s="8">
        <f t="shared" ca="1" si="4"/>
        <v>0.33565737051792832</v>
      </c>
    </row>
    <row r="82" spans="2:14" x14ac:dyDescent="0.25">
      <c r="B82" s="8">
        <f t="shared" ref="B82:J91" ca="1" si="9">NORMINV(RAND(), $G$7, $G$13)</f>
        <v>2.6206646578070711</v>
      </c>
      <c r="C82" s="8">
        <f t="shared" ca="1" si="9"/>
        <v>2.2168643140854289</v>
      </c>
      <c r="D82" s="8">
        <f t="shared" ca="1" si="9"/>
        <v>1.531071985515418</v>
      </c>
      <c r="E82" s="8">
        <f t="shared" ca="1" si="9"/>
        <v>1.1230673524345929</v>
      </c>
      <c r="F82" s="8">
        <f t="shared" ca="1" si="9"/>
        <v>2.1916372530837882</v>
      </c>
      <c r="G82" s="8">
        <f t="shared" ca="1" si="9"/>
        <v>1.504138920346731</v>
      </c>
      <c r="H82" s="8">
        <f t="shared" ca="1" si="9"/>
        <v>2.055666732764462</v>
      </c>
      <c r="I82" s="8">
        <f t="shared" ca="1" si="9"/>
        <v>1.7688576937899403</v>
      </c>
      <c r="J82" s="8">
        <f t="shared" ca="1" si="9"/>
        <v>2.5719494534167624</v>
      </c>
      <c r="K82" s="8">
        <f t="shared" ca="1" si="1"/>
        <v>1.9537687070271328</v>
      </c>
      <c r="L82" s="8">
        <f t="shared" ca="1" si="2"/>
        <v>0.50845081896684718</v>
      </c>
      <c r="M82" s="8">
        <f t="shared" ca="1" si="3"/>
        <v>0.13645418326693226</v>
      </c>
      <c r="N82" s="8">
        <f t="shared" ca="1" si="4"/>
        <v>0.6344621513944223</v>
      </c>
    </row>
    <row r="83" spans="2:14" x14ac:dyDescent="0.25">
      <c r="B83" s="8">
        <f t="shared" ca="1" si="9"/>
        <v>2.2565327513912323</v>
      </c>
      <c r="C83" s="8">
        <f t="shared" ca="1" si="9"/>
        <v>1.9983003051144925</v>
      </c>
      <c r="D83" s="8">
        <f t="shared" ca="1" si="9"/>
        <v>1.6198965722389305</v>
      </c>
      <c r="E83" s="8">
        <f t="shared" ca="1" si="9"/>
        <v>2.4472413948762921</v>
      </c>
      <c r="F83" s="8">
        <f t="shared" ca="1" si="9"/>
        <v>1.4154081701002488</v>
      </c>
      <c r="G83" s="8">
        <f t="shared" ca="1" si="9"/>
        <v>1.8400335247416844</v>
      </c>
      <c r="H83" s="8">
        <f t="shared" ca="1" si="9"/>
        <v>2.4872798632455924</v>
      </c>
      <c r="I83" s="8">
        <f t="shared" ca="1" si="9"/>
        <v>2.7857667377276538</v>
      </c>
      <c r="J83" s="8">
        <f t="shared" ca="1" si="9"/>
        <v>1.6912573944271458</v>
      </c>
      <c r="K83" s="8">
        <f t="shared" ca="1" si="1"/>
        <v>2.0601907459848081</v>
      </c>
      <c r="L83" s="8">
        <f t="shared" ca="1" si="2"/>
        <v>0.46033126631774823</v>
      </c>
      <c r="M83" s="8">
        <f t="shared" ca="1" si="3"/>
        <v>0.39541832669322707</v>
      </c>
      <c r="N83" s="8">
        <f t="shared" ca="1" si="4"/>
        <v>0.47509960159362552</v>
      </c>
    </row>
    <row r="84" spans="2:14" x14ac:dyDescent="0.25">
      <c r="B84" s="8">
        <f t="shared" ca="1" si="9"/>
        <v>2.0309730377840207</v>
      </c>
      <c r="C84" s="8">
        <f t="shared" ca="1" si="9"/>
        <v>2.2191405535258948</v>
      </c>
      <c r="D84" s="8">
        <f t="shared" ca="1" si="9"/>
        <v>2.2146142550332479</v>
      </c>
      <c r="E84" s="8">
        <f t="shared" ca="1" si="9"/>
        <v>2.2739602123580624</v>
      </c>
      <c r="F84" s="8">
        <f t="shared" ca="1" si="9"/>
        <v>2.9469101380947538</v>
      </c>
      <c r="G84" s="8">
        <f t="shared" ca="1" si="9"/>
        <v>1.9764690182861948</v>
      </c>
      <c r="H84" s="8">
        <f t="shared" ca="1" si="9"/>
        <v>2.8699833374632724</v>
      </c>
      <c r="I84" s="8">
        <f t="shared" ca="1" si="9"/>
        <v>2.2636497199358976</v>
      </c>
      <c r="J84" s="8">
        <f t="shared" ca="1" si="9"/>
        <v>1.3421290125930703</v>
      </c>
      <c r="K84" s="8">
        <f t="shared" ca="1" si="1"/>
        <v>2.2375365872304904</v>
      </c>
      <c r="L84" s="8">
        <f t="shared" ca="1" si="2"/>
        <v>0.47679288615640092</v>
      </c>
      <c r="M84" s="8">
        <f t="shared" ca="1" si="3"/>
        <v>0.88346613545816732</v>
      </c>
      <c r="N84" s="8">
        <f t="shared" ca="1" si="4"/>
        <v>0.53486055776892427</v>
      </c>
    </row>
    <row r="85" spans="2:14" x14ac:dyDescent="0.25">
      <c r="B85" s="8">
        <f t="shared" ca="1" si="9"/>
        <v>2.1480291379343974</v>
      </c>
      <c r="C85" s="8">
        <f t="shared" ca="1" si="9"/>
        <v>1.868960638081246</v>
      </c>
      <c r="D85" s="8">
        <f t="shared" ca="1" si="9"/>
        <v>1.7996412593266551</v>
      </c>
      <c r="E85" s="8">
        <f t="shared" ca="1" si="9"/>
        <v>2.0588836711226484</v>
      </c>
      <c r="F85" s="8">
        <f t="shared" ca="1" si="9"/>
        <v>3.4045107677622424</v>
      </c>
      <c r="G85" s="8">
        <f t="shared" ca="1" si="9"/>
        <v>1.5466124809239523</v>
      </c>
      <c r="H85" s="8">
        <f t="shared" ca="1" si="9"/>
        <v>2.4221620904724772</v>
      </c>
      <c r="I85" s="8">
        <f t="shared" ca="1" si="9"/>
        <v>1.7904904423063153</v>
      </c>
      <c r="J85" s="8">
        <f t="shared" ca="1" si="9"/>
        <v>1.93892252484933</v>
      </c>
      <c r="K85" s="8">
        <f t="shared" ca="1" si="1"/>
        <v>2.1086903347532515</v>
      </c>
      <c r="L85" s="8">
        <f t="shared" ca="1" si="2"/>
        <v>0.54548474251138379</v>
      </c>
      <c r="M85" s="8">
        <f t="shared" ca="1" si="3"/>
        <v>0.55478087649402386</v>
      </c>
      <c r="N85" s="8">
        <f t="shared" ca="1" si="4"/>
        <v>0.73406374501992033</v>
      </c>
    </row>
    <row r="86" spans="2:14" x14ac:dyDescent="0.25">
      <c r="B86" s="8">
        <f t="shared" ca="1" si="9"/>
        <v>2.9054265867532756</v>
      </c>
      <c r="C86" s="8">
        <f t="shared" ca="1" si="9"/>
        <v>2.1675530572289636</v>
      </c>
      <c r="D86" s="8">
        <f t="shared" ca="1" si="9"/>
        <v>1.5183951095665666</v>
      </c>
      <c r="E86" s="8">
        <f t="shared" ca="1" si="9"/>
        <v>2.7344413497057292</v>
      </c>
      <c r="F86" s="8">
        <f t="shared" ca="1" si="9"/>
        <v>1.6820875344920603</v>
      </c>
      <c r="G86" s="8">
        <f t="shared" ca="1" si="9"/>
        <v>2.1356176448754471</v>
      </c>
      <c r="H86" s="8">
        <f t="shared" ca="1" si="9"/>
        <v>1.5915725118437232</v>
      </c>
      <c r="I86" s="8">
        <f t="shared" ca="1" si="9"/>
        <v>0.70463721382593936</v>
      </c>
      <c r="J86" s="8">
        <f t="shared" ca="1" si="9"/>
        <v>2.1713208677908886</v>
      </c>
      <c r="K86" s="8">
        <f t="shared" ca="1" si="1"/>
        <v>1.956783541786955</v>
      </c>
      <c r="L86" s="8">
        <f t="shared" ca="1" si="2"/>
        <v>0.67044750160274558</v>
      </c>
      <c r="M86" s="8">
        <f t="shared" ca="1" si="3"/>
        <v>0.14641434262948205</v>
      </c>
      <c r="N86" s="8">
        <f t="shared" ca="1" si="4"/>
        <v>0.93326693227091628</v>
      </c>
    </row>
    <row r="87" spans="2:14" x14ac:dyDescent="0.25">
      <c r="B87" s="8">
        <f t="shared" ca="1" si="9"/>
        <v>1.4531367467701364</v>
      </c>
      <c r="C87" s="8">
        <f t="shared" ca="1" si="9"/>
        <v>1.6588908507795306</v>
      </c>
      <c r="D87" s="8">
        <f t="shared" ca="1" si="9"/>
        <v>1.3138003300998906</v>
      </c>
      <c r="E87" s="8">
        <f t="shared" ca="1" si="9"/>
        <v>2.0672210613746738</v>
      </c>
      <c r="F87" s="8">
        <f t="shared" ca="1" si="9"/>
        <v>2.2495554377896387</v>
      </c>
      <c r="G87" s="8">
        <f t="shared" ca="1" si="9"/>
        <v>2.0041532899429262</v>
      </c>
      <c r="H87" s="8">
        <f t="shared" ca="1" si="9"/>
        <v>1.7064127204333293</v>
      </c>
      <c r="I87" s="8">
        <f t="shared" ca="1" si="9"/>
        <v>2.5252837320049428</v>
      </c>
      <c r="J87" s="8">
        <f t="shared" ca="1" si="9"/>
        <v>0.94358666432120297</v>
      </c>
      <c r="K87" s="8">
        <f t="shared" ca="1" si="1"/>
        <v>1.7691156481684744</v>
      </c>
      <c r="L87" s="8">
        <f t="shared" ca="1" si="2"/>
        <v>0.49389473374553394</v>
      </c>
      <c r="M87" s="8">
        <f t="shared" ca="1" si="3"/>
        <v>1.693227091633466E-2</v>
      </c>
      <c r="N87" s="8">
        <f t="shared" ca="1" si="4"/>
        <v>0.61454183266932272</v>
      </c>
    </row>
    <row r="88" spans="2:14" x14ac:dyDescent="0.25">
      <c r="B88" s="8">
        <f t="shared" ca="1" si="9"/>
        <v>2.4100766960606599</v>
      </c>
      <c r="C88" s="8">
        <f t="shared" ca="1" si="9"/>
        <v>2.7550800015708767</v>
      </c>
      <c r="D88" s="8">
        <f t="shared" ca="1" si="9"/>
        <v>1.8454466762376869</v>
      </c>
      <c r="E88" s="8">
        <f t="shared" ca="1" si="9"/>
        <v>2.0856030245773391</v>
      </c>
      <c r="F88" s="8">
        <f t="shared" ca="1" si="9"/>
        <v>2.1369333431837889</v>
      </c>
      <c r="G88" s="8">
        <f t="shared" ca="1" si="9"/>
        <v>1.4349624019319631</v>
      </c>
      <c r="H88" s="8">
        <f t="shared" ca="1" si="9"/>
        <v>2.9004626804564211</v>
      </c>
      <c r="I88" s="8">
        <f t="shared" ca="1" si="9"/>
        <v>1.7996000222518878</v>
      </c>
      <c r="J88" s="8">
        <f t="shared" ca="1" si="9"/>
        <v>2.3223914103217376</v>
      </c>
      <c r="K88" s="8">
        <f t="shared" ca="1" si="1"/>
        <v>2.1878395840658182</v>
      </c>
      <c r="L88" s="8">
        <f t="shared" ca="1" si="2"/>
        <v>0.46702751099109685</v>
      </c>
      <c r="M88" s="8">
        <f t="shared" ca="1" si="3"/>
        <v>0.7739043824701195</v>
      </c>
      <c r="N88" s="8">
        <f t="shared" ca="1" si="4"/>
        <v>0.4950199203187251</v>
      </c>
    </row>
    <row r="89" spans="2:14" x14ac:dyDescent="0.25">
      <c r="B89" s="8">
        <f t="shared" ca="1" si="9"/>
        <v>2.7480404278131902</v>
      </c>
      <c r="C89" s="8">
        <f t="shared" ca="1" si="9"/>
        <v>1.1380717082019207</v>
      </c>
      <c r="D89" s="8">
        <f t="shared" ca="1" si="9"/>
        <v>2.1825110855422762</v>
      </c>
      <c r="E89" s="8">
        <f t="shared" ca="1" si="9"/>
        <v>1.3552795359945047</v>
      </c>
      <c r="F89" s="8">
        <f t="shared" ca="1" si="9"/>
        <v>2.1175868888306715</v>
      </c>
      <c r="G89" s="8">
        <f t="shared" ca="1" si="9"/>
        <v>1.7256790655628702</v>
      </c>
      <c r="H89" s="8">
        <f t="shared" ca="1" si="9"/>
        <v>2.5265235586321775</v>
      </c>
      <c r="I89" s="8">
        <f t="shared" ca="1" si="9"/>
        <v>2.7465874126753271</v>
      </c>
      <c r="J89" s="8">
        <f t="shared" ca="1" si="9"/>
        <v>1.5628048896014179</v>
      </c>
      <c r="K89" s="8">
        <f t="shared" ca="1" si="1"/>
        <v>2.0114538414282617</v>
      </c>
      <c r="L89" s="8">
        <f t="shared" ca="1" si="2"/>
        <v>0.59844767515200514</v>
      </c>
      <c r="M89" s="8">
        <f t="shared" ca="1" si="3"/>
        <v>0.26593625498007967</v>
      </c>
      <c r="N89" s="8">
        <f t="shared" ca="1" si="4"/>
        <v>0.83366533864541825</v>
      </c>
    </row>
    <row r="90" spans="2:14" x14ac:dyDescent="0.25">
      <c r="B90" s="8">
        <f t="shared" ca="1" si="9"/>
        <v>2.228995197953723</v>
      </c>
      <c r="C90" s="8">
        <f t="shared" ca="1" si="9"/>
        <v>2.9224594828033483</v>
      </c>
      <c r="D90" s="8">
        <f t="shared" ca="1" si="9"/>
        <v>1.9900664742187064</v>
      </c>
      <c r="E90" s="8">
        <f t="shared" ca="1" si="9"/>
        <v>1.3623044310335257</v>
      </c>
      <c r="F90" s="8">
        <f t="shared" ca="1" si="9"/>
        <v>2.257631943988311</v>
      </c>
      <c r="G90" s="8">
        <f t="shared" ca="1" si="9"/>
        <v>2.7047285123871974</v>
      </c>
      <c r="H90" s="8">
        <f t="shared" ca="1" si="9"/>
        <v>1.2755269373449187</v>
      </c>
      <c r="I90" s="8">
        <f t="shared" ca="1" si="9"/>
        <v>2.5928890229797772</v>
      </c>
      <c r="J90" s="8">
        <f t="shared" ca="1" si="9"/>
        <v>2.1446611626012024</v>
      </c>
      <c r="K90" s="8">
        <f t="shared" ca="1" si="1"/>
        <v>2.1643625739234125</v>
      </c>
      <c r="L90" s="8">
        <f t="shared" ca="1" si="2"/>
        <v>0.56206217061989516</v>
      </c>
      <c r="M90" s="8">
        <f t="shared" ca="1" si="3"/>
        <v>0.73406374501992033</v>
      </c>
      <c r="N90" s="8">
        <f t="shared" ca="1" si="4"/>
        <v>0.7739043824701195</v>
      </c>
    </row>
    <row r="91" spans="2:14" x14ac:dyDescent="0.25">
      <c r="B91" s="8">
        <f t="shared" ca="1" si="9"/>
        <v>2.2309019750311623</v>
      </c>
      <c r="C91" s="8">
        <f t="shared" ca="1" si="9"/>
        <v>1.4392423797090808</v>
      </c>
      <c r="D91" s="8">
        <f t="shared" ca="1" si="9"/>
        <v>2.8061014257054717</v>
      </c>
      <c r="E91" s="8">
        <f t="shared" ca="1" si="9"/>
        <v>2.2768382996451479</v>
      </c>
      <c r="F91" s="8">
        <f t="shared" ca="1" si="9"/>
        <v>2.8336377800655708</v>
      </c>
      <c r="G91" s="8">
        <f t="shared" ca="1" si="9"/>
        <v>2.2689002265396803</v>
      </c>
      <c r="H91" s="8">
        <f t="shared" ca="1" si="9"/>
        <v>2.0242264446435443</v>
      </c>
      <c r="I91" s="8">
        <f t="shared" ca="1" si="9"/>
        <v>2.6434838335017101</v>
      </c>
      <c r="J91" s="8">
        <f t="shared" ca="1" si="9"/>
        <v>2.2333418883098406</v>
      </c>
      <c r="K91" s="8">
        <f t="shared" ca="1" si="1"/>
        <v>2.3062971392390228</v>
      </c>
      <c r="L91" s="8">
        <f t="shared" ca="1" si="2"/>
        <v>0.43101746303546479</v>
      </c>
      <c r="M91" s="8">
        <f t="shared" ca="1" si="3"/>
        <v>0.95318725099601587</v>
      </c>
      <c r="N91" s="8">
        <f t="shared" ca="1" si="4"/>
        <v>0.40537848605577692</v>
      </c>
    </row>
    <row r="92" spans="2:14" x14ac:dyDescent="0.25">
      <c r="B92" s="8">
        <f t="shared" ref="B92:J101" ca="1" si="10">NORMINV(RAND(), $G$7, $G$13)</f>
        <v>2.4669093338590908</v>
      </c>
      <c r="C92" s="8">
        <f t="shared" ca="1" si="10"/>
        <v>2.0699708731582538</v>
      </c>
      <c r="D92" s="8">
        <f t="shared" ca="1" si="10"/>
        <v>1.7542025439869775</v>
      </c>
      <c r="E92" s="8">
        <f t="shared" ca="1" si="10"/>
        <v>1.6369251959098998</v>
      </c>
      <c r="F92" s="8">
        <f t="shared" ca="1" si="10"/>
        <v>2.554404517844223</v>
      </c>
      <c r="G92" s="8">
        <f t="shared" ca="1" si="10"/>
        <v>2.5815700446912349</v>
      </c>
      <c r="H92" s="8">
        <f t="shared" ca="1" si="10"/>
        <v>1.7472777779255109</v>
      </c>
      <c r="I92" s="8">
        <f t="shared" ca="1" si="10"/>
        <v>2.0518019208580744</v>
      </c>
      <c r="J92" s="8">
        <f t="shared" ca="1" si="10"/>
        <v>1.9310207534850854</v>
      </c>
      <c r="K92" s="8">
        <f t="shared" ca="1" si="1"/>
        <v>2.0882314401909281</v>
      </c>
      <c r="L92" s="8">
        <f t="shared" ca="1" si="2"/>
        <v>0.36434445443360847</v>
      </c>
      <c r="M92" s="8">
        <f t="shared" ca="1" si="3"/>
        <v>0.47509960159362552</v>
      </c>
      <c r="N92" s="8">
        <f t="shared" ca="1" si="4"/>
        <v>0.12649402390438247</v>
      </c>
    </row>
    <row r="93" spans="2:14" x14ac:dyDescent="0.25">
      <c r="B93" s="8">
        <f t="shared" ca="1" si="10"/>
        <v>2.3835925858696894</v>
      </c>
      <c r="C93" s="8">
        <f t="shared" ca="1" si="10"/>
        <v>1.9240080898601586</v>
      </c>
      <c r="D93" s="8">
        <f t="shared" ca="1" si="10"/>
        <v>1.7983710086743587</v>
      </c>
      <c r="E93" s="8">
        <f t="shared" ca="1" si="10"/>
        <v>2.6879307767355733</v>
      </c>
      <c r="F93" s="8">
        <f t="shared" ca="1" si="10"/>
        <v>2.1862297079726511</v>
      </c>
      <c r="G93" s="8">
        <f t="shared" ca="1" si="10"/>
        <v>2.5888313431459782</v>
      </c>
      <c r="H93" s="8">
        <f t="shared" ca="1" si="10"/>
        <v>1.9791464195958814</v>
      </c>
      <c r="I93" s="8">
        <f t="shared" ca="1" si="10"/>
        <v>1.9323476940172843</v>
      </c>
      <c r="J93" s="8">
        <f t="shared" ca="1" si="10"/>
        <v>1.6369084548270552</v>
      </c>
      <c r="K93" s="8">
        <f t="shared" ca="1" si="1"/>
        <v>2.1241517867442918</v>
      </c>
      <c r="L93" s="8">
        <f t="shared" ca="1" si="2"/>
        <v>0.36165402700594046</v>
      </c>
      <c r="M93" s="8">
        <f t="shared" ca="1" si="3"/>
        <v>0.60458167330677293</v>
      </c>
      <c r="N93" s="8">
        <f t="shared" ca="1" si="4"/>
        <v>0.10657370517928286</v>
      </c>
    </row>
    <row r="94" spans="2:14" x14ac:dyDescent="0.25">
      <c r="B94" s="8">
        <f t="shared" ca="1" si="10"/>
        <v>2.3582071850965871</v>
      </c>
      <c r="C94" s="8">
        <f t="shared" ca="1" si="10"/>
        <v>2.2153756710908876</v>
      </c>
      <c r="D94" s="8">
        <f t="shared" ca="1" si="10"/>
        <v>1.8410490283639027</v>
      </c>
      <c r="E94" s="8">
        <f t="shared" ca="1" si="10"/>
        <v>1.6445437493197339</v>
      </c>
      <c r="F94" s="8">
        <f t="shared" ca="1" si="10"/>
        <v>2.9911621145520408</v>
      </c>
      <c r="G94" s="8">
        <f t="shared" ca="1" si="10"/>
        <v>1.5739844886181158</v>
      </c>
      <c r="H94" s="8">
        <f t="shared" ca="1" si="10"/>
        <v>1.3411905889130464</v>
      </c>
      <c r="I94" s="8">
        <f t="shared" ca="1" si="10"/>
        <v>2.4405749301161861</v>
      </c>
      <c r="J94" s="8">
        <f t="shared" ca="1" si="10"/>
        <v>2.4268474493260088</v>
      </c>
      <c r="K94" s="8">
        <f t="shared" ca="1" si="1"/>
        <v>2.0925483561551679</v>
      </c>
      <c r="L94" s="8">
        <f t="shared" ca="1" si="2"/>
        <v>0.52719223819236061</v>
      </c>
      <c r="M94" s="8">
        <f t="shared" ca="1" si="3"/>
        <v>0.4950199203187251</v>
      </c>
      <c r="N94" s="8">
        <f t="shared" ca="1" si="4"/>
        <v>0.69422310756972105</v>
      </c>
    </row>
    <row r="95" spans="2:14" x14ac:dyDescent="0.25">
      <c r="B95" s="8">
        <f t="shared" ca="1" si="10"/>
        <v>1.4324774149685799</v>
      </c>
      <c r="C95" s="8">
        <f t="shared" ca="1" si="10"/>
        <v>2.4588284329686809</v>
      </c>
      <c r="D95" s="8">
        <f t="shared" ca="1" si="10"/>
        <v>2.1257946808427923</v>
      </c>
      <c r="E95" s="8">
        <f t="shared" ca="1" si="10"/>
        <v>2.7816468885650418</v>
      </c>
      <c r="F95" s="8">
        <f t="shared" ca="1" si="10"/>
        <v>2.936999012409828</v>
      </c>
      <c r="G95" s="8">
        <f t="shared" ca="1" si="10"/>
        <v>1.7394366905314902</v>
      </c>
      <c r="H95" s="8">
        <f t="shared" ca="1" si="10"/>
        <v>1.8717332653199927</v>
      </c>
      <c r="I95" s="8">
        <f t="shared" ca="1" si="10"/>
        <v>3.0376785734952949</v>
      </c>
      <c r="J95" s="8">
        <f t="shared" ca="1" si="10"/>
        <v>2.1172141606084116</v>
      </c>
      <c r="K95" s="8">
        <f t="shared" ca="1" si="1"/>
        <v>2.2779787910789016</v>
      </c>
      <c r="L95" s="8">
        <f t="shared" ca="1" si="2"/>
        <v>0.56088996525697987</v>
      </c>
      <c r="M95" s="8">
        <f t="shared" ca="1" si="3"/>
        <v>0.9133466135458167</v>
      </c>
      <c r="N95" s="8">
        <f t="shared" ca="1" si="4"/>
        <v>0.76394422310756971</v>
      </c>
    </row>
    <row r="96" spans="2:14" x14ac:dyDescent="0.25">
      <c r="B96" s="8">
        <f t="shared" ca="1" si="10"/>
        <v>1.9705900130855394</v>
      </c>
      <c r="C96" s="8">
        <f t="shared" ca="1" si="10"/>
        <v>2.0249584116448629</v>
      </c>
      <c r="D96" s="8">
        <f t="shared" ca="1" si="10"/>
        <v>2.4836994409433348</v>
      </c>
      <c r="E96" s="8">
        <f t="shared" ca="1" si="10"/>
        <v>2.5808241389158351</v>
      </c>
      <c r="F96" s="8">
        <f t="shared" ca="1" si="10"/>
        <v>2.1494402688024632</v>
      </c>
      <c r="G96" s="8">
        <f t="shared" ca="1" si="10"/>
        <v>1.209193246502116</v>
      </c>
      <c r="H96" s="8">
        <f t="shared" ca="1" si="10"/>
        <v>1.6423642702531867</v>
      </c>
      <c r="I96" s="8">
        <f t="shared" ca="1" si="10"/>
        <v>2.0302924969404539</v>
      </c>
      <c r="J96" s="8">
        <f t="shared" ca="1" si="10"/>
        <v>2.0967209204144086</v>
      </c>
      <c r="K96" s="8">
        <f t="shared" ca="1" si="1"/>
        <v>2.0208981341669112</v>
      </c>
      <c r="L96" s="8">
        <f t="shared" ca="1" si="2"/>
        <v>0.41151590391188014</v>
      </c>
      <c r="M96" s="8">
        <f t="shared" ca="1" si="3"/>
        <v>0.32569721115537847</v>
      </c>
      <c r="N96" s="8">
        <f t="shared" ca="1" si="4"/>
        <v>0.34561752988047811</v>
      </c>
    </row>
    <row r="97" spans="2:14" x14ac:dyDescent="0.25">
      <c r="B97" s="8">
        <f t="shared" ca="1" si="10"/>
        <v>1.3302778513943045</v>
      </c>
      <c r="C97" s="8">
        <f t="shared" ca="1" si="10"/>
        <v>1.7972390074623277</v>
      </c>
      <c r="D97" s="8">
        <f t="shared" ca="1" si="10"/>
        <v>2.1608523291692037</v>
      </c>
      <c r="E97" s="8">
        <f t="shared" ca="1" si="10"/>
        <v>1.6104982139371424</v>
      </c>
      <c r="F97" s="8">
        <f t="shared" ca="1" si="10"/>
        <v>2.5481148164812497</v>
      </c>
      <c r="G97" s="8">
        <f t="shared" ca="1" si="10"/>
        <v>2.5863437586360885</v>
      </c>
      <c r="H97" s="8">
        <f t="shared" ca="1" si="10"/>
        <v>2.205689648075392</v>
      </c>
      <c r="I97" s="8">
        <f t="shared" ca="1" si="10"/>
        <v>1.5260863267929163</v>
      </c>
      <c r="J97" s="8">
        <f t="shared" ca="1" si="10"/>
        <v>2.3204297481724265</v>
      </c>
      <c r="K97" s="8">
        <f t="shared" ref="K97:K131" ca="1" si="11">AVERAGE(B97:J97)</f>
        <v>2.0095035222356725</v>
      </c>
      <c r="L97" s="8">
        <f t="shared" ref="L97:L131" ca="1" si="12">STDEV(B97:J97)</f>
        <v>0.45828737122422242</v>
      </c>
      <c r="M97" s="8">
        <f t="shared" ref="M97:M131" ca="1" si="13">((RANK(K97, $K$32:$K$131, 1)-0.3) / (100+0.4))</f>
        <v>0.25597609561752988</v>
      </c>
      <c r="N97" s="8">
        <f t="shared" ref="N97:N131" ca="1" si="14">((RANK(L97, $L$32:$L$131, 1)-0.3) / (100+0.4))</f>
        <v>0.46513944223107567</v>
      </c>
    </row>
    <row r="98" spans="2:14" x14ac:dyDescent="0.25">
      <c r="B98" s="8">
        <f t="shared" ca="1" si="10"/>
        <v>2.9318050332201553</v>
      </c>
      <c r="C98" s="8">
        <f t="shared" ca="1" si="10"/>
        <v>1.2765305845580395</v>
      </c>
      <c r="D98" s="8">
        <f t="shared" ca="1" si="10"/>
        <v>2.1077751842520884</v>
      </c>
      <c r="E98" s="8">
        <f t="shared" ca="1" si="10"/>
        <v>2.4205654089459303</v>
      </c>
      <c r="F98" s="8">
        <f t="shared" ca="1" si="10"/>
        <v>2.1845870157595497</v>
      </c>
      <c r="G98" s="8">
        <f t="shared" ca="1" si="10"/>
        <v>3.1547349605799226</v>
      </c>
      <c r="H98" s="8">
        <f t="shared" ca="1" si="10"/>
        <v>2.2652646240893151</v>
      </c>
      <c r="I98" s="8">
        <f t="shared" ca="1" si="10"/>
        <v>0.73711993786693086</v>
      </c>
      <c r="J98" s="8">
        <f t="shared" ca="1" si="10"/>
        <v>2.8106590897833659</v>
      </c>
      <c r="K98" s="8">
        <f t="shared" ca="1" si="11"/>
        <v>2.2098935376728113</v>
      </c>
      <c r="L98" s="8">
        <f t="shared" ca="1" si="12"/>
        <v>0.78050836171793236</v>
      </c>
      <c r="M98" s="8">
        <f t="shared" ca="1" si="13"/>
        <v>0.83366533864541825</v>
      </c>
      <c r="N98" s="8">
        <f t="shared" ca="1" si="14"/>
        <v>0.99302788844621515</v>
      </c>
    </row>
    <row r="99" spans="2:14" x14ac:dyDescent="0.25">
      <c r="B99" s="8">
        <f t="shared" ca="1" si="10"/>
        <v>2.5134373681004236</v>
      </c>
      <c r="C99" s="8">
        <f t="shared" ca="1" si="10"/>
        <v>2.1969122953185418</v>
      </c>
      <c r="D99" s="8">
        <f t="shared" ca="1" si="10"/>
        <v>1.240199917521682</v>
      </c>
      <c r="E99" s="8">
        <f t="shared" ca="1" si="10"/>
        <v>2.5331511838934833</v>
      </c>
      <c r="F99" s="8">
        <f t="shared" ca="1" si="10"/>
        <v>1.9798718500565256</v>
      </c>
      <c r="G99" s="8">
        <f t="shared" ca="1" si="10"/>
        <v>1.8420565468221195</v>
      </c>
      <c r="H99" s="8">
        <f t="shared" ca="1" si="10"/>
        <v>2.1835785317651313</v>
      </c>
      <c r="I99" s="8">
        <f t="shared" ca="1" si="10"/>
        <v>1.7525108731454027</v>
      </c>
      <c r="J99" s="8">
        <f t="shared" ca="1" si="10"/>
        <v>1.9152081878919471</v>
      </c>
      <c r="K99" s="8">
        <f t="shared" ca="1" si="11"/>
        <v>2.0174363060572511</v>
      </c>
      <c r="L99" s="8">
        <f t="shared" ca="1" si="12"/>
        <v>0.40135635409337678</v>
      </c>
      <c r="M99" s="8">
        <f t="shared" ca="1" si="13"/>
        <v>0.29581673306772904</v>
      </c>
      <c r="N99" s="8">
        <f t="shared" ca="1" si="14"/>
        <v>0.30577689243027883</v>
      </c>
    </row>
    <row r="100" spans="2:14" x14ac:dyDescent="0.25">
      <c r="B100" s="8">
        <f t="shared" ca="1" si="10"/>
        <v>2.1471513782507885</v>
      </c>
      <c r="C100" s="8">
        <f t="shared" ca="1" si="10"/>
        <v>1.6145416499110961</v>
      </c>
      <c r="D100" s="8">
        <f t="shared" ca="1" si="10"/>
        <v>2.1848396675955</v>
      </c>
      <c r="E100" s="8">
        <f t="shared" ca="1" si="10"/>
        <v>1.8428049116283765</v>
      </c>
      <c r="F100" s="8">
        <f t="shared" ca="1" si="10"/>
        <v>1.7331967684575893</v>
      </c>
      <c r="G100" s="8">
        <f t="shared" ca="1" si="10"/>
        <v>2.7305190185055688</v>
      </c>
      <c r="H100" s="8">
        <f t="shared" ca="1" si="10"/>
        <v>2.1427221600357824</v>
      </c>
      <c r="I100" s="8">
        <f t="shared" ca="1" si="10"/>
        <v>1.9484356354254835</v>
      </c>
      <c r="J100" s="8">
        <f t="shared" ca="1" si="10"/>
        <v>1.4973637351547362</v>
      </c>
      <c r="K100" s="8">
        <f t="shared" ca="1" si="11"/>
        <v>1.9823972138849912</v>
      </c>
      <c r="L100" s="8">
        <f t="shared" ca="1" si="12"/>
        <v>0.3719597857539369</v>
      </c>
      <c r="M100" s="8">
        <f t="shared" ca="1" si="13"/>
        <v>0.21613545816733065</v>
      </c>
      <c r="N100" s="8">
        <f t="shared" ca="1" si="14"/>
        <v>0.16633466135458166</v>
      </c>
    </row>
    <row r="101" spans="2:14" x14ac:dyDescent="0.25">
      <c r="B101" s="8">
        <f t="shared" ca="1" si="10"/>
        <v>2.1402337262271156</v>
      </c>
      <c r="C101" s="8">
        <f t="shared" ca="1" si="10"/>
        <v>1.2956852851862655</v>
      </c>
      <c r="D101" s="8">
        <f t="shared" ca="1" si="10"/>
        <v>2.0161182705421585</v>
      </c>
      <c r="E101" s="8">
        <f t="shared" ca="1" si="10"/>
        <v>1.8399160042373204</v>
      </c>
      <c r="F101" s="8">
        <f t="shared" ca="1" si="10"/>
        <v>2.6221084416903717</v>
      </c>
      <c r="G101" s="8">
        <f t="shared" ca="1" si="10"/>
        <v>1.8472184388644282</v>
      </c>
      <c r="H101" s="8">
        <f t="shared" ca="1" si="10"/>
        <v>1.8302751233393069</v>
      </c>
      <c r="I101" s="8">
        <f t="shared" ca="1" si="10"/>
        <v>1.7312348552621457</v>
      </c>
      <c r="J101" s="8">
        <f t="shared" ca="1" si="10"/>
        <v>2.4193531733795566</v>
      </c>
      <c r="K101" s="8">
        <f t="shared" ca="1" si="11"/>
        <v>1.9713492576365188</v>
      </c>
      <c r="L101" s="8">
        <f t="shared" ca="1" si="12"/>
        <v>0.39074976870273087</v>
      </c>
      <c r="M101" s="8">
        <f t="shared" ca="1" si="13"/>
        <v>0.16633466135458166</v>
      </c>
      <c r="N101" s="8">
        <f t="shared" ca="1" si="14"/>
        <v>0.23605577689243026</v>
      </c>
    </row>
    <row r="102" spans="2:14" x14ac:dyDescent="0.25">
      <c r="B102" s="8">
        <f t="shared" ref="B102:J111" ca="1" si="15">NORMINV(RAND(), $G$7, $G$13)</f>
        <v>2.2833283470047707</v>
      </c>
      <c r="C102" s="8">
        <f t="shared" ca="1" si="15"/>
        <v>3.1863669646338515</v>
      </c>
      <c r="D102" s="8">
        <f t="shared" ca="1" si="15"/>
        <v>2.1253118339841208</v>
      </c>
      <c r="E102" s="8">
        <f t="shared" ca="1" si="15"/>
        <v>2.454009629368</v>
      </c>
      <c r="F102" s="8">
        <f t="shared" ca="1" si="15"/>
        <v>1.0194988668624263</v>
      </c>
      <c r="G102" s="8">
        <f t="shared" ca="1" si="15"/>
        <v>2.5431191854987203</v>
      </c>
      <c r="H102" s="8">
        <f t="shared" ca="1" si="15"/>
        <v>1.7458644597289719</v>
      </c>
      <c r="I102" s="8">
        <f t="shared" ca="1" si="15"/>
        <v>2.702717545063547</v>
      </c>
      <c r="J102" s="8">
        <f t="shared" ca="1" si="15"/>
        <v>1.6426226464418348</v>
      </c>
      <c r="K102" s="8">
        <f t="shared" ca="1" si="11"/>
        <v>2.1892043865095827</v>
      </c>
      <c r="L102" s="8">
        <f t="shared" ca="1" si="12"/>
        <v>0.64516092401064862</v>
      </c>
      <c r="M102" s="8">
        <f t="shared" ca="1" si="13"/>
        <v>0.78386454183266929</v>
      </c>
      <c r="N102" s="8">
        <f t="shared" ca="1" si="14"/>
        <v>0.89342629482071712</v>
      </c>
    </row>
    <row r="103" spans="2:14" x14ac:dyDescent="0.25">
      <c r="B103" s="8">
        <f t="shared" ca="1" si="15"/>
        <v>3.0997410373850132</v>
      </c>
      <c r="C103" s="8">
        <f t="shared" ca="1" si="15"/>
        <v>1.9401744269374088</v>
      </c>
      <c r="D103" s="8">
        <f t="shared" ca="1" si="15"/>
        <v>1.6188617581998761</v>
      </c>
      <c r="E103" s="8">
        <f t="shared" ca="1" si="15"/>
        <v>1.8189443709221016</v>
      </c>
      <c r="F103" s="8">
        <f t="shared" ca="1" si="15"/>
        <v>2.0045468314211088</v>
      </c>
      <c r="G103" s="8">
        <f t="shared" ca="1" si="15"/>
        <v>1.7555350231011608</v>
      </c>
      <c r="H103" s="8">
        <f t="shared" ca="1" si="15"/>
        <v>2.4487916678233423</v>
      </c>
      <c r="I103" s="8">
        <f t="shared" ca="1" si="15"/>
        <v>1.8332946173410598</v>
      </c>
      <c r="J103" s="8">
        <f t="shared" ca="1" si="15"/>
        <v>2.4224848373469805</v>
      </c>
      <c r="K103" s="8">
        <f t="shared" ca="1" si="11"/>
        <v>2.1047082856086727</v>
      </c>
      <c r="L103" s="8">
        <f t="shared" ca="1" si="12"/>
        <v>0.46902350755553585</v>
      </c>
      <c r="M103" s="8">
        <f t="shared" ca="1" si="13"/>
        <v>0.54482071713147406</v>
      </c>
      <c r="N103" s="8">
        <f t="shared" ca="1" si="14"/>
        <v>0.5049800796812749</v>
      </c>
    </row>
    <row r="104" spans="2:14" x14ac:dyDescent="0.25">
      <c r="B104" s="8">
        <f t="shared" ca="1" si="15"/>
        <v>2.3056726142034205</v>
      </c>
      <c r="C104" s="8">
        <f t="shared" ca="1" si="15"/>
        <v>2.3179866124970445</v>
      </c>
      <c r="D104" s="8">
        <f t="shared" ca="1" si="15"/>
        <v>2.1270654128670921</v>
      </c>
      <c r="E104" s="8">
        <f t="shared" ca="1" si="15"/>
        <v>1.5708164816270851</v>
      </c>
      <c r="F104" s="8">
        <f t="shared" ca="1" si="15"/>
        <v>2.6547636023775674</v>
      </c>
      <c r="G104" s="8">
        <f t="shared" ca="1" si="15"/>
        <v>2.4944219775647691</v>
      </c>
      <c r="H104" s="8">
        <f t="shared" ca="1" si="15"/>
        <v>2.5023344224705664</v>
      </c>
      <c r="I104" s="8">
        <f t="shared" ca="1" si="15"/>
        <v>2.1462420438828231</v>
      </c>
      <c r="J104" s="8">
        <f t="shared" ca="1" si="15"/>
        <v>1.1283987754041376</v>
      </c>
      <c r="K104" s="8">
        <f t="shared" ca="1" si="11"/>
        <v>2.1386335492105006</v>
      </c>
      <c r="L104" s="8">
        <f t="shared" ca="1" si="12"/>
        <v>0.49098189435856704</v>
      </c>
      <c r="M104" s="8">
        <f t="shared" ca="1" si="13"/>
        <v>0.64442231075697209</v>
      </c>
      <c r="N104" s="8">
        <f t="shared" ca="1" si="14"/>
        <v>0.59462151394422313</v>
      </c>
    </row>
    <row r="105" spans="2:14" x14ac:dyDescent="0.25">
      <c r="B105" s="8">
        <f t="shared" ca="1" si="15"/>
        <v>2.5084887520951851</v>
      </c>
      <c r="C105" s="8">
        <f t="shared" ca="1" si="15"/>
        <v>2.2632656702038929</v>
      </c>
      <c r="D105" s="8">
        <f t="shared" ca="1" si="15"/>
        <v>1.2367192382767871</v>
      </c>
      <c r="E105" s="8">
        <f t="shared" ca="1" si="15"/>
        <v>1.7620001437829726</v>
      </c>
      <c r="F105" s="8">
        <f t="shared" ca="1" si="15"/>
        <v>2.2875581051301639</v>
      </c>
      <c r="G105" s="8">
        <f t="shared" ca="1" si="15"/>
        <v>2.1590464795748892</v>
      </c>
      <c r="H105" s="8">
        <f t="shared" ca="1" si="15"/>
        <v>1.898453371084889</v>
      </c>
      <c r="I105" s="8">
        <f t="shared" ca="1" si="15"/>
        <v>2.8648725511803335</v>
      </c>
      <c r="J105" s="8">
        <f t="shared" ca="1" si="15"/>
        <v>1.2674536674777555</v>
      </c>
      <c r="K105" s="8">
        <f t="shared" ca="1" si="11"/>
        <v>2.0275397754229854</v>
      </c>
      <c r="L105" s="8">
        <f t="shared" ca="1" si="12"/>
        <v>0.54350838853121586</v>
      </c>
      <c r="M105" s="8">
        <f t="shared" ca="1" si="13"/>
        <v>0.33565737051792832</v>
      </c>
      <c r="N105" s="8">
        <f t="shared" ca="1" si="14"/>
        <v>0.72410358565737054</v>
      </c>
    </row>
    <row r="106" spans="2:14" x14ac:dyDescent="0.25">
      <c r="B106" s="8">
        <f t="shared" ca="1" si="15"/>
        <v>1.9709122166959567</v>
      </c>
      <c r="C106" s="8">
        <f t="shared" ca="1" si="15"/>
        <v>1.5841576644833648</v>
      </c>
      <c r="D106" s="8">
        <f t="shared" ca="1" si="15"/>
        <v>1.5462962169184911</v>
      </c>
      <c r="E106" s="8">
        <f t="shared" ca="1" si="15"/>
        <v>2.0513462560444373</v>
      </c>
      <c r="F106" s="8">
        <f t="shared" ca="1" si="15"/>
        <v>2.1412894761357215</v>
      </c>
      <c r="G106" s="8">
        <f t="shared" ca="1" si="15"/>
        <v>2.2785049084600315</v>
      </c>
      <c r="H106" s="8">
        <f t="shared" ca="1" si="15"/>
        <v>1.5778235227866939</v>
      </c>
      <c r="I106" s="8">
        <f t="shared" ca="1" si="15"/>
        <v>2.2236416125463032</v>
      </c>
      <c r="J106" s="8">
        <f t="shared" ca="1" si="15"/>
        <v>2.7463116865619566</v>
      </c>
      <c r="K106" s="8">
        <f t="shared" ca="1" si="11"/>
        <v>2.0133648400703286</v>
      </c>
      <c r="L106" s="8">
        <f t="shared" ca="1" si="12"/>
        <v>0.39739846498246012</v>
      </c>
      <c r="M106" s="8">
        <f t="shared" ca="1" si="13"/>
        <v>0.27589641434262946</v>
      </c>
      <c r="N106" s="8">
        <f t="shared" ca="1" si="14"/>
        <v>0.29581673306772904</v>
      </c>
    </row>
    <row r="107" spans="2:14" x14ac:dyDescent="0.25">
      <c r="B107" s="8">
        <f t="shared" ca="1" si="15"/>
        <v>2.1253880664893572</v>
      </c>
      <c r="C107" s="8">
        <f t="shared" ca="1" si="15"/>
        <v>1.705635322197149</v>
      </c>
      <c r="D107" s="8">
        <f t="shared" ca="1" si="15"/>
        <v>1.668174658673431</v>
      </c>
      <c r="E107" s="8">
        <f t="shared" ca="1" si="15"/>
        <v>2.1481101542732954</v>
      </c>
      <c r="F107" s="8">
        <f t="shared" ca="1" si="15"/>
        <v>1.6345187922290312</v>
      </c>
      <c r="G107" s="8">
        <f t="shared" ca="1" si="15"/>
        <v>1.2865690200402935</v>
      </c>
      <c r="H107" s="8">
        <f t="shared" ca="1" si="15"/>
        <v>1.2681745599447307</v>
      </c>
      <c r="I107" s="8">
        <f t="shared" ca="1" si="15"/>
        <v>2.0403215718806402</v>
      </c>
      <c r="J107" s="8">
        <f t="shared" ca="1" si="15"/>
        <v>2.5316998850159109</v>
      </c>
      <c r="K107" s="8">
        <f t="shared" ca="1" si="11"/>
        <v>1.823176892304871</v>
      </c>
      <c r="L107" s="8">
        <f t="shared" ca="1" si="12"/>
        <v>0.42063628156691685</v>
      </c>
      <c r="M107" s="8">
        <f t="shared" ca="1" si="13"/>
        <v>7.6693227091633467E-2</v>
      </c>
      <c r="N107" s="8">
        <f t="shared" ca="1" si="14"/>
        <v>0.3655378486055777</v>
      </c>
    </row>
    <row r="108" spans="2:14" x14ac:dyDescent="0.25">
      <c r="B108" s="8">
        <f t="shared" ca="1" si="15"/>
        <v>1.9243167251007569</v>
      </c>
      <c r="C108" s="8">
        <f t="shared" ca="1" si="15"/>
        <v>1.8083822591759704</v>
      </c>
      <c r="D108" s="8">
        <f t="shared" ca="1" si="15"/>
        <v>3.1924809864556121</v>
      </c>
      <c r="E108" s="8">
        <f t="shared" ca="1" si="15"/>
        <v>2.0495327613578085</v>
      </c>
      <c r="F108" s="8">
        <f t="shared" ca="1" si="15"/>
        <v>2.2184847921590705</v>
      </c>
      <c r="G108" s="8">
        <f t="shared" ca="1" si="15"/>
        <v>1.8106627524633772</v>
      </c>
      <c r="H108" s="8">
        <f t="shared" ca="1" si="15"/>
        <v>1.7341287019660252</v>
      </c>
      <c r="I108" s="8">
        <f t="shared" ca="1" si="15"/>
        <v>1.906797344442984</v>
      </c>
      <c r="J108" s="8">
        <f t="shared" ca="1" si="15"/>
        <v>2.2854809572749661</v>
      </c>
      <c r="K108" s="8">
        <f t="shared" ca="1" si="11"/>
        <v>2.1033630311551743</v>
      </c>
      <c r="L108" s="8">
        <f t="shared" ca="1" si="12"/>
        <v>0.4493345531331448</v>
      </c>
      <c r="M108" s="8">
        <f t="shared" ca="1" si="13"/>
        <v>0.53486055776892427</v>
      </c>
      <c r="N108" s="8">
        <f t="shared" ca="1" si="14"/>
        <v>0.41533864541832671</v>
      </c>
    </row>
    <row r="109" spans="2:14" x14ac:dyDescent="0.25">
      <c r="B109" s="8">
        <f t="shared" ca="1" si="15"/>
        <v>2.4914859967644212</v>
      </c>
      <c r="C109" s="8">
        <f t="shared" ca="1" si="15"/>
        <v>2.5926700985581568</v>
      </c>
      <c r="D109" s="8">
        <f t="shared" ca="1" si="15"/>
        <v>1.8426375707094678</v>
      </c>
      <c r="E109" s="8">
        <f t="shared" ca="1" si="15"/>
        <v>2.3615916754567237</v>
      </c>
      <c r="F109" s="8">
        <f t="shared" ca="1" si="15"/>
        <v>2.2823243886144304</v>
      </c>
      <c r="G109" s="8">
        <f t="shared" ca="1" si="15"/>
        <v>1.7250813947714148</v>
      </c>
      <c r="H109" s="8">
        <f t="shared" ca="1" si="15"/>
        <v>3.0618310171611389</v>
      </c>
      <c r="I109" s="8">
        <f t="shared" ca="1" si="15"/>
        <v>1.5824942838443388</v>
      </c>
      <c r="J109" s="8">
        <f t="shared" ca="1" si="15"/>
        <v>2.4695922014448408</v>
      </c>
      <c r="K109" s="8">
        <f t="shared" ca="1" si="11"/>
        <v>2.2677454030361037</v>
      </c>
      <c r="L109" s="8">
        <f t="shared" ca="1" si="12"/>
        <v>0.47179705179012843</v>
      </c>
      <c r="M109" s="8">
        <f t="shared" ca="1" si="13"/>
        <v>0.89342629482071712</v>
      </c>
      <c r="N109" s="8">
        <f t="shared" ca="1" si="14"/>
        <v>0.52490039840637448</v>
      </c>
    </row>
    <row r="110" spans="2:14" x14ac:dyDescent="0.25">
      <c r="B110" s="8">
        <f t="shared" ca="1" si="15"/>
        <v>2.9270772770413163</v>
      </c>
      <c r="C110" s="8">
        <f t="shared" ca="1" si="15"/>
        <v>2.4542420287844129</v>
      </c>
      <c r="D110" s="8">
        <f t="shared" ca="1" si="15"/>
        <v>1.3363217298343255</v>
      </c>
      <c r="E110" s="8">
        <f t="shared" ca="1" si="15"/>
        <v>1.886308150385112</v>
      </c>
      <c r="F110" s="8">
        <f t="shared" ca="1" si="15"/>
        <v>1.8615515723145168</v>
      </c>
      <c r="G110" s="8">
        <f t="shared" ca="1" si="15"/>
        <v>3.0641980616746753</v>
      </c>
      <c r="H110" s="8">
        <f t="shared" ca="1" si="15"/>
        <v>1.792335596817173</v>
      </c>
      <c r="I110" s="8">
        <f t="shared" ca="1" si="15"/>
        <v>3.1370691678409761</v>
      </c>
      <c r="J110" s="8">
        <f t="shared" ca="1" si="15"/>
        <v>2.1634844849541039</v>
      </c>
      <c r="K110" s="8">
        <f t="shared" ca="1" si="11"/>
        <v>2.2913986744051789</v>
      </c>
      <c r="L110" s="8">
        <f t="shared" ca="1" si="12"/>
        <v>0.63928158403583124</v>
      </c>
      <c r="M110" s="8">
        <f t="shared" ca="1" si="13"/>
        <v>0.94322709163346607</v>
      </c>
      <c r="N110" s="8">
        <f t="shared" ca="1" si="14"/>
        <v>0.88346613545816732</v>
      </c>
    </row>
    <row r="111" spans="2:14" x14ac:dyDescent="0.25">
      <c r="B111" s="8">
        <f t="shared" ca="1" si="15"/>
        <v>2.3833741290311674</v>
      </c>
      <c r="C111" s="8">
        <f t="shared" ca="1" si="15"/>
        <v>2.0883602398298033</v>
      </c>
      <c r="D111" s="8">
        <f t="shared" ca="1" si="15"/>
        <v>2.5625659995904262</v>
      </c>
      <c r="E111" s="8">
        <f t="shared" ca="1" si="15"/>
        <v>2.1866679731160703</v>
      </c>
      <c r="F111" s="8">
        <f t="shared" ca="1" si="15"/>
        <v>1.7153794702459142</v>
      </c>
      <c r="G111" s="8">
        <f t="shared" ca="1" si="15"/>
        <v>3.1630844891749579</v>
      </c>
      <c r="H111" s="8">
        <f t="shared" ca="1" si="15"/>
        <v>1.7321747735720892</v>
      </c>
      <c r="I111" s="8">
        <f t="shared" ca="1" si="15"/>
        <v>1.6829780453302396</v>
      </c>
      <c r="J111" s="8">
        <f t="shared" ca="1" si="15"/>
        <v>2.2247003933749849</v>
      </c>
      <c r="K111" s="8">
        <f t="shared" ca="1" si="11"/>
        <v>2.1932539459184057</v>
      </c>
      <c r="L111" s="8">
        <f t="shared" ca="1" si="12"/>
        <v>0.47781832527016255</v>
      </c>
      <c r="M111" s="8">
        <f t="shared" ca="1" si="13"/>
        <v>0.80378486055776888</v>
      </c>
      <c r="N111" s="8">
        <f t="shared" ca="1" si="14"/>
        <v>0.54482071713147406</v>
      </c>
    </row>
    <row r="112" spans="2:14" x14ac:dyDescent="0.25">
      <c r="B112" s="8">
        <f t="shared" ref="B112:J121" ca="1" si="16">NORMINV(RAND(), $G$7, $G$13)</f>
        <v>1.3239192124076924</v>
      </c>
      <c r="C112" s="8">
        <f t="shared" ca="1" si="16"/>
        <v>1.4543483320606456</v>
      </c>
      <c r="D112" s="8">
        <f t="shared" ca="1" si="16"/>
        <v>2.0114292348266085</v>
      </c>
      <c r="E112" s="8">
        <f t="shared" ca="1" si="16"/>
        <v>2.0480055514363289</v>
      </c>
      <c r="F112" s="8">
        <f t="shared" ca="1" si="16"/>
        <v>2.3366206135510996</v>
      </c>
      <c r="G112" s="8">
        <f t="shared" ca="1" si="16"/>
        <v>1.5320152181621103</v>
      </c>
      <c r="H112" s="8">
        <f t="shared" ca="1" si="16"/>
        <v>2.335343639106962</v>
      </c>
      <c r="I112" s="8">
        <f t="shared" ca="1" si="16"/>
        <v>1.957896009029221</v>
      </c>
      <c r="J112" s="8">
        <f t="shared" ca="1" si="16"/>
        <v>1.2860706159261059</v>
      </c>
      <c r="K112" s="8">
        <f t="shared" ca="1" si="11"/>
        <v>1.809516491834086</v>
      </c>
      <c r="L112" s="8">
        <f t="shared" ca="1" si="12"/>
        <v>0.41637526550483689</v>
      </c>
      <c r="M112" s="8">
        <f t="shared" ca="1" si="13"/>
        <v>4.6812749003984064E-2</v>
      </c>
      <c r="N112" s="8">
        <f t="shared" ca="1" si="14"/>
        <v>0.35557768924302791</v>
      </c>
    </row>
    <row r="113" spans="2:14" x14ac:dyDescent="0.25">
      <c r="B113" s="8">
        <f t="shared" ca="1" si="16"/>
        <v>2.1583990251964544</v>
      </c>
      <c r="C113" s="8">
        <f t="shared" ca="1" si="16"/>
        <v>2.7257720907559673</v>
      </c>
      <c r="D113" s="8">
        <f t="shared" ca="1" si="16"/>
        <v>2.0219987969324857</v>
      </c>
      <c r="E113" s="8">
        <f t="shared" ca="1" si="16"/>
        <v>1.5547229997505769</v>
      </c>
      <c r="F113" s="8">
        <f t="shared" ca="1" si="16"/>
        <v>1.7369741917655133</v>
      </c>
      <c r="G113" s="8">
        <f t="shared" ca="1" si="16"/>
        <v>1.8337561782286116</v>
      </c>
      <c r="H113" s="8">
        <f t="shared" ca="1" si="16"/>
        <v>2.2985513486160309</v>
      </c>
      <c r="I113" s="8">
        <f t="shared" ca="1" si="16"/>
        <v>1.7842923632698606</v>
      </c>
      <c r="J113" s="8">
        <f t="shared" ca="1" si="16"/>
        <v>2.4045012319113663</v>
      </c>
      <c r="K113" s="8">
        <f t="shared" ca="1" si="11"/>
        <v>2.0576631362696514</v>
      </c>
      <c r="L113" s="8">
        <f t="shared" ca="1" si="12"/>
        <v>0.37362566834291944</v>
      </c>
      <c r="M113" s="8">
        <f t="shared" ca="1" si="13"/>
        <v>0.38545816733067728</v>
      </c>
      <c r="N113" s="8">
        <f t="shared" ca="1" si="14"/>
        <v>0.17629482071713146</v>
      </c>
    </row>
    <row r="114" spans="2:14" x14ac:dyDescent="0.25">
      <c r="B114" s="8">
        <f t="shared" ca="1" si="16"/>
        <v>1.4886996966089465</v>
      </c>
      <c r="C114" s="8">
        <f t="shared" ca="1" si="16"/>
        <v>2.0578029179072548</v>
      </c>
      <c r="D114" s="8">
        <f t="shared" ca="1" si="16"/>
        <v>1.6365631447387452</v>
      </c>
      <c r="E114" s="8">
        <f t="shared" ca="1" si="16"/>
        <v>1.7608055908488776</v>
      </c>
      <c r="F114" s="8">
        <f t="shared" ca="1" si="16"/>
        <v>2.5475993402083295</v>
      </c>
      <c r="G114" s="8">
        <f t="shared" ca="1" si="16"/>
        <v>2.8743167553303168</v>
      </c>
      <c r="H114" s="8">
        <f t="shared" ca="1" si="16"/>
        <v>1.1224814845648461</v>
      </c>
      <c r="I114" s="8">
        <f t="shared" ca="1" si="16"/>
        <v>1.9012951836586907</v>
      </c>
      <c r="J114" s="8">
        <f t="shared" ca="1" si="16"/>
        <v>1.9813581474134032</v>
      </c>
      <c r="K114" s="8">
        <f t="shared" ca="1" si="11"/>
        <v>1.9301024734754901</v>
      </c>
      <c r="L114" s="8">
        <f t="shared" ca="1" si="12"/>
        <v>0.53086276983625869</v>
      </c>
      <c r="M114" s="8">
        <f t="shared" ca="1" si="13"/>
        <v>0.10657370517928286</v>
      </c>
      <c r="N114" s="8">
        <f t="shared" ca="1" si="14"/>
        <v>0.70418326693227096</v>
      </c>
    </row>
    <row r="115" spans="2:14" x14ac:dyDescent="0.25">
      <c r="B115" s="8">
        <f t="shared" ca="1" si="16"/>
        <v>2.2013142697000401</v>
      </c>
      <c r="C115" s="8">
        <f t="shared" ca="1" si="16"/>
        <v>1.8178730923810824</v>
      </c>
      <c r="D115" s="8">
        <f t="shared" ca="1" si="16"/>
        <v>1.8063001511735193</v>
      </c>
      <c r="E115" s="8">
        <f t="shared" ca="1" si="16"/>
        <v>2.1864201663248002</v>
      </c>
      <c r="F115" s="8">
        <f t="shared" ca="1" si="16"/>
        <v>2.2292707005920347</v>
      </c>
      <c r="G115" s="8">
        <f t="shared" ca="1" si="16"/>
        <v>1.4894617282433147</v>
      </c>
      <c r="H115" s="8">
        <f t="shared" ca="1" si="16"/>
        <v>1.8405592505017556</v>
      </c>
      <c r="I115" s="8">
        <f t="shared" ca="1" si="16"/>
        <v>2.7499900685301046</v>
      </c>
      <c r="J115" s="8">
        <f t="shared" ca="1" si="16"/>
        <v>2.2412280685393742</v>
      </c>
      <c r="K115" s="8">
        <f t="shared" ca="1" si="11"/>
        <v>2.0624908328873364</v>
      </c>
      <c r="L115" s="8">
        <f t="shared" ca="1" si="12"/>
        <v>0.36574164983307134</v>
      </c>
      <c r="M115" s="8">
        <f t="shared" ca="1" si="13"/>
        <v>0.40537848605577692</v>
      </c>
      <c r="N115" s="8">
        <f t="shared" ca="1" si="14"/>
        <v>0.13645418326693226</v>
      </c>
    </row>
    <row r="116" spans="2:14" x14ac:dyDescent="0.25">
      <c r="B116" s="8">
        <f t="shared" ca="1" si="16"/>
        <v>2.0247226783016075</v>
      </c>
      <c r="C116" s="8">
        <f t="shared" ca="1" si="16"/>
        <v>2.5532611748286591</v>
      </c>
      <c r="D116" s="8">
        <f t="shared" ca="1" si="16"/>
        <v>1.5832586382584202</v>
      </c>
      <c r="E116" s="8">
        <f t="shared" ca="1" si="16"/>
        <v>1.4030390247063542</v>
      </c>
      <c r="F116" s="8">
        <f t="shared" ca="1" si="16"/>
        <v>1.9579624898655046</v>
      </c>
      <c r="G116" s="8">
        <f t="shared" ca="1" si="16"/>
        <v>2.2694483669081196</v>
      </c>
      <c r="H116" s="8">
        <f t="shared" ca="1" si="16"/>
        <v>2.2434351944621338</v>
      </c>
      <c r="I116" s="8">
        <f t="shared" ca="1" si="16"/>
        <v>2.1376578861084421</v>
      </c>
      <c r="J116" s="8">
        <f t="shared" ca="1" si="16"/>
        <v>1.8118084904066434</v>
      </c>
      <c r="K116" s="8">
        <f t="shared" ca="1" si="11"/>
        <v>1.9982882159828759</v>
      </c>
      <c r="L116" s="8">
        <f t="shared" ca="1" si="12"/>
        <v>0.35789567992044158</v>
      </c>
      <c r="M116" s="8">
        <f t="shared" ca="1" si="13"/>
        <v>0.24601593625498006</v>
      </c>
      <c r="N116" s="8">
        <f t="shared" ca="1" si="14"/>
        <v>8.6653386454183259E-2</v>
      </c>
    </row>
    <row r="117" spans="2:14" x14ac:dyDescent="0.25">
      <c r="B117" s="8">
        <f t="shared" ca="1" si="16"/>
        <v>2.0951438974149705</v>
      </c>
      <c r="C117" s="8">
        <f t="shared" ca="1" si="16"/>
        <v>2.3255056433286918</v>
      </c>
      <c r="D117" s="8">
        <f t="shared" ca="1" si="16"/>
        <v>1.565849563904536</v>
      </c>
      <c r="E117" s="8">
        <f t="shared" ca="1" si="16"/>
        <v>2.1632729778528796</v>
      </c>
      <c r="F117" s="8">
        <f t="shared" ca="1" si="16"/>
        <v>2.2196836389818206</v>
      </c>
      <c r="G117" s="8">
        <f t="shared" ca="1" si="16"/>
        <v>2.5490453349103692</v>
      </c>
      <c r="H117" s="8">
        <f t="shared" ca="1" si="16"/>
        <v>2.4711256252473071</v>
      </c>
      <c r="I117" s="8">
        <f t="shared" ca="1" si="16"/>
        <v>2.7585417292947541</v>
      </c>
      <c r="J117" s="8">
        <f t="shared" ca="1" si="16"/>
        <v>1.8630714384495519</v>
      </c>
      <c r="K117" s="8">
        <f t="shared" ca="1" si="11"/>
        <v>2.2234710943760976</v>
      </c>
      <c r="L117" s="8">
        <f t="shared" ca="1" si="12"/>
        <v>0.36168062623599007</v>
      </c>
      <c r="M117" s="8">
        <f t="shared" ca="1" si="13"/>
        <v>0.84362549800796816</v>
      </c>
      <c r="N117" s="8">
        <f t="shared" ca="1" si="14"/>
        <v>0.11653386454183265</v>
      </c>
    </row>
    <row r="118" spans="2:14" x14ac:dyDescent="0.25">
      <c r="B118" s="8">
        <f t="shared" ca="1" si="16"/>
        <v>1.8160261052564941</v>
      </c>
      <c r="C118" s="8">
        <f t="shared" ca="1" si="16"/>
        <v>1.6961521042850234</v>
      </c>
      <c r="D118" s="8">
        <f t="shared" ca="1" si="16"/>
        <v>1.803344873108718</v>
      </c>
      <c r="E118" s="8">
        <f t="shared" ca="1" si="16"/>
        <v>1.5117059059388844</v>
      </c>
      <c r="F118" s="8">
        <f t="shared" ca="1" si="16"/>
        <v>2.1439611618574261</v>
      </c>
      <c r="G118" s="8">
        <f t="shared" ca="1" si="16"/>
        <v>2.641033080664724</v>
      </c>
      <c r="H118" s="8">
        <f t="shared" ca="1" si="16"/>
        <v>1.3823211495363517</v>
      </c>
      <c r="I118" s="8">
        <f t="shared" ca="1" si="16"/>
        <v>1.6122033090804131</v>
      </c>
      <c r="J118" s="8">
        <f t="shared" ca="1" si="16"/>
        <v>1.7191869757641829</v>
      </c>
      <c r="K118" s="8">
        <f t="shared" ca="1" si="11"/>
        <v>1.8139927406102467</v>
      </c>
      <c r="L118" s="8">
        <f t="shared" ca="1" si="12"/>
        <v>0.37654740920010793</v>
      </c>
      <c r="M118" s="8">
        <f t="shared" ca="1" si="13"/>
        <v>5.6772908366533863E-2</v>
      </c>
      <c r="N118" s="8">
        <f t="shared" ca="1" si="14"/>
        <v>0.18625498007968125</v>
      </c>
    </row>
    <row r="119" spans="2:14" x14ac:dyDescent="0.25">
      <c r="B119" s="8">
        <f t="shared" ca="1" si="16"/>
        <v>2.3866127893507501</v>
      </c>
      <c r="C119" s="8">
        <f t="shared" ca="1" si="16"/>
        <v>1.959200022836098</v>
      </c>
      <c r="D119" s="8">
        <f t="shared" ca="1" si="16"/>
        <v>1.3079903382904305</v>
      </c>
      <c r="E119" s="8">
        <f t="shared" ca="1" si="16"/>
        <v>2.1339611868981367</v>
      </c>
      <c r="F119" s="8">
        <f t="shared" ca="1" si="16"/>
        <v>2.3483664949096292</v>
      </c>
      <c r="G119" s="8">
        <f t="shared" ca="1" si="16"/>
        <v>2.4699081518807349</v>
      </c>
      <c r="H119" s="8">
        <f t="shared" ca="1" si="16"/>
        <v>2.41985068880662</v>
      </c>
      <c r="I119" s="8">
        <f t="shared" ca="1" si="16"/>
        <v>2.4948137211511092</v>
      </c>
      <c r="J119" s="8">
        <f t="shared" ca="1" si="16"/>
        <v>2.5566398183266967</v>
      </c>
      <c r="K119" s="8">
        <f t="shared" ca="1" si="11"/>
        <v>2.2308159124944673</v>
      </c>
      <c r="L119" s="8">
        <f t="shared" ca="1" si="12"/>
        <v>0.39395576881040462</v>
      </c>
      <c r="M119" s="8">
        <f t="shared" ca="1" si="13"/>
        <v>0.85358565737051795</v>
      </c>
      <c r="N119" s="8">
        <f t="shared" ca="1" si="14"/>
        <v>0.27589641434262946</v>
      </c>
    </row>
    <row r="120" spans="2:14" x14ac:dyDescent="0.25">
      <c r="B120" s="8">
        <f t="shared" ca="1" si="16"/>
        <v>2.0763005361481763</v>
      </c>
      <c r="C120" s="8">
        <f t="shared" ca="1" si="16"/>
        <v>1.3727560369870981</v>
      </c>
      <c r="D120" s="8">
        <f t="shared" ca="1" si="16"/>
        <v>1.6735139815508513</v>
      </c>
      <c r="E120" s="8">
        <f t="shared" ca="1" si="16"/>
        <v>1.0437153423578782</v>
      </c>
      <c r="F120" s="8">
        <f t="shared" ca="1" si="16"/>
        <v>2.7944489967342188</v>
      </c>
      <c r="G120" s="8">
        <f t="shared" ca="1" si="16"/>
        <v>2.0568441241113735</v>
      </c>
      <c r="H120" s="8">
        <f t="shared" ca="1" si="16"/>
        <v>2.4960377112683969</v>
      </c>
      <c r="I120" s="8">
        <f t="shared" ca="1" si="16"/>
        <v>2.3796626918693908</v>
      </c>
      <c r="J120" s="8">
        <f t="shared" ca="1" si="16"/>
        <v>1.7871758893825862</v>
      </c>
      <c r="K120" s="8">
        <f t="shared" ca="1" si="11"/>
        <v>1.9644950344899965</v>
      </c>
      <c r="L120" s="8">
        <f t="shared" ca="1" si="12"/>
        <v>0.55664806430660352</v>
      </c>
      <c r="M120" s="8">
        <f t="shared" ca="1" si="13"/>
        <v>0.15637450199203184</v>
      </c>
      <c r="N120" s="8">
        <f t="shared" ca="1" si="14"/>
        <v>0.75398406374501992</v>
      </c>
    </row>
    <row r="121" spans="2:14" x14ac:dyDescent="0.25">
      <c r="B121" s="8">
        <f t="shared" ca="1" si="16"/>
        <v>2.1193023551565764</v>
      </c>
      <c r="C121" s="8">
        <f t="shared" ca="1" si="16"/>
        <v>2.1172951072532742</v>
      </c>
      <c r="D121" s="8">
        <f t="shared" ca="1" si="16"/>
        <v>2.4787016519385072</v>
      </c>
      <c r="E121" s="8">
        <f t="shared" ca="1" si="16"/>
        <v>2.4303563284987102</v>
      </c>
      <c r="F121" s="8">
        <f t="shared" ca="1" si="16"/>
        <v>1.8900646985418019</v>
      </c>
      <c r="G121" s="8">
        <f t="shared" ca="1" si="16"/>
        <v>1.8943461007572255</v>
      </c>
      <c r="H121" s="8">
        <f t="shared" ca="1" si="16"/>
        <v>2.1120364428029745</v>
      </c>
      <c r="I121" s="8">
        <f t="shared" ca="1" si="16"/>
        <v>1.9344960174399559</v>
      </c>
      <c r="J121" s="8">
        <f t="shared" ca="1" si="16"/>
        <v>2.2067327349117662</v>
      </c>
      <c r="K121" s="8">
        <f t="shared" ca="1" si="11"/>
        <v>2.1314812708111992</v>
      </c>
      <c r="L121" s="8">
        <f t="shared" ca="1" si="12"/>
        <v>0.21494097761799463</v>
      </c>
      <c r="M121" s="8">
        <f t="shared" ca="1" si="13"/>
        <v>0.61454183266932272</v>
      </c>
      <c r="N121" s="8">
        <f t="shared" ca="1" si="14"/>
        <v>6.9721115537848596E-3</v>
      </c>
    </row>
    <row r="122" spans="2:14" x14ac:dyDescent="0.25">
      <c r="B122" s="8">
        <f t="shared" ref="B122:J131" ca="1" si="17">NORMINV(RAND(), $G$7, $G$13)</f>
        <v>2.070455524022329</v>
      </c>
      <c r="C122" s="8">
        <f t="shared" ca="1" si="17"/>
        <v>1.455028611448046</v>
      </c>
      <c r="D122" s="8">
        <f t="shared" ca="1" si="17"/>
        <v>1.7738513600548738</v>
      </c>
      <c r="E122" s="8">
        <f t="shared" ca="1" si="17"/>
        <v>2.864453934403945</v>
      </c>
      <c r="F122" s="8">
        <f t="shared" ca="1" si="17"/>
        <v>1.2177715515082816</v>
      </c>
      <c r="G122" s="8">
        <f t="shared" ca="1" si="17"/>
        <v>2.3154545682015164</v>
      </c>
      <c r="H122" s="8">
        <f t="shared" ca="1" si="17"/>
        <v>2.4676308596691978</v>
      </c>
      <c r="I122" s="8">
        <f t="shared" ca="1" si="17"/>
        <v>1.9816132702949676</v>
      </c>
      <c r="J122" s="8">
        <f t="shared" ca="1" si="17"/>
        <v>1.6281230428059361</v>
      </c>
      <c r="K122" s="8">
        <f t="shared" ca="1" si="11"/>
        <v>1.9749314136010103</v>
      </c>
      <c r="L122" s="8">
        <f t="shared" ca="1" si="12"/>
        <v>0.52002737852319936</v>
      </c>
      <c r="M122" s="8">
        <f t="shared" ca="1" si="13"/>
        <v>0.19621513944223107</v>
      </c>
      <c r="N122" s="8">
        <f t="shared" ca="1" si="14"/>
        <v>0.68426294820717126</v>
      </c>
    </row>
    <row r="123" spans="2:14" x14ac:dyDescent="0.25">
      <c r="B123" s="8">
        <f t="shared" ca="1" si="17"/>
        <v>1.5974543791656357</v>
      </c>
      <c r="C123" s="8">
        <f t="shared" ca="1" si="17"/>
        <v>1.906256594483124</v>
      </c>
      <c r="D123" s="8">
        <f t="shared" ca="1" si="17"/>
        <v>2.0234698059400484</v>
      </c>
      <c r="E123" s="8">
        <f t="shared" ca="1" si="17"/>
        <v>2.708989339594476</v>
      </c>
      <c r="F123" s="8">
        <f t="shared" ca="1" si="17"/>
        <v>0.87150110787358082</v>
      </c>
      <c r="G123" s="8">
        <f t="shared" ca="1" si="17"/>
        <v>2.6483512742655533</v>
      </c>
      <c r="H123" s="8">
        <f t="shared" ca="1" si="17"/>
        <v>1.9231152270636871</v>
      </c>
      <c r="I123" s="8">
        <f t="shared" ca="1" si="17"/>
        <v>1.8826878122917574</v>
      </c>
      <c r="J123" s="8">
        <f t="shared" ca="1" si="17"/>
        <v>2.1978511502161782</v>
      </c>
      <c r="K123" s="8">
        <f t="shared" ca="1" si="11"/>
        <v>1.9732974100993381</v>
      </c>
      <c r="L123" s="8">
        <f t="shared" ca="1" si="12"/>
        <v>0.55003612191862228</v>
      </c>
      <c r="M123" s="8">
        <f t="shared" ca="1" si="13"/>
        <v>0.18625498007968125</v>
      </c>
      <c r="N123" s="8">
        <f t="shared" ca="1" si="14"/>
        <v>0.74402390438247012</v>
      </c>
    </row>
    <row r="124" spans="2:14" x14ac:dyDescent="0.25">
      <c r="B124" s="8">
        <f t="shared" ca="1" si="17"/>
        <v>1.9485434656158993</v>
      </c>
      <c r="C124" s="8">
        <f t="shared" ca="1" si="17"/>
        <v>1.4435065162260918</v>
      </c>
      <c r="D124" s="8">
        <f t="shared" ca="1" si="17"/>
        <v>2.2803927192535172</v>
      </c>
      <c r="E124" s="8">
        <f t="shared" ca="1" si="17"/>
        <v>2.1681508509716192</v>
      </c>
      <c r="F124" s="8">
        <f t="shared" ca="1" si="17"/>
        <v>2.3361207657982241</v>
      </c>
      <c r="G124" s="8">
        <f t="shared" ca="1" si="17"/>
        <v>1.553478239208222</v>
      </c>
      <c r="H124" s="8">
        <f t="shared" ca="1" si="17"/>
        <v>1.9980133968131644</v>
      </c>
      <c r="I124" s="8">
        <f t="shared" ca="1" si="17"/>
        <v>1.5536360735842401</v>
      </c>
      <c r="J124" s="8">
        <f t="shared" ca="1" si="17"/>
        <v>2.5283904102777104</v>
      </c>
      <c r="K124" s="8">
        <f t="shared" ca="1" si="11"/>
        <v>1.9789147153054099</v>
      </c>
      <c r="L124" s="8">
        <f t="shared" ca="1" si="12"/>
        <v>0.3882695961189494</v>
      </c>
      <c r="M124" s="8">
        <f t="shared" ca="1" si="13"/>
        <v>0.20617529880478086</v>
      </c>
      <c r="N124" s="8">
        <f t="shared" ca="1" si="14"/>
        <v>0.22609561752988047</v>
      </c>
    </row>
    <row r="125" spans="2:14" x14ac:dyDescent="0.25">
      <c r="B125" s="8">
        <f t="shared" ca="1" si="17"/>
        <v>1.9958643276579435</v>
      </c>
      <c r="C125" s="8">
        <f t="shared" ca="1" si="17"/>
        <v>3.0858071460167249</v>
      </c>
      <c r="D125" s="8">
        <f t="shared" ca="1" si="17"/>
        <v>1.6835546165752473</v>
      </c>
      <c r="E125" s="8">
        <f t="shared" ca="1" si="17"/>
        <v>3.0091580604301713</v>
      </c>
      <c r="F125" s="8">
        <f t="shared" ca="1" si="17"/>
        <v>2.7769608002721329</v>
      </c>
      <c r="G125" s="8">
        <f t="shared" ca="1" si="17"/>
        <v>1.5926247016953101</v>
      </c>
      <c r="H125" s="8">
        <f t="shared" ca="1" si="17"/>
        <v>2.9011318841392777</v>
      </c>
      <c r="I125" s="8">
        <f t="shared" ca="1" si="17"/>
        <v>2.5605212079711315</v>
      </c>
      <c r="J125" s="8">
        <f t="shared" ca="1" si="17"/>
        <v>1.4989604908193983</v>
      </c>
      <c r="K125" s="8">
        <f t="shared" ca="1" si="11"/>
        <v>2.3449536928419268</v>
      </c>
      <c r="L125" s="8">
        <f t="shared" ca="1" si="12"/>
        <v>0.64937282123669926</v>
      </c>
      <c r="M125" s="8">
        <f t="shared" ca="1" si="13"/>
        <v>0.97310756972111556</v>
      </c>
      <c r="N125" s="8">
        <f t="shared" ca="1" si="14"/>
        <v>0.90338645418326691</v>
      </c>
    </row>
    <row r="126" spans="2:14" x14ac:dyDescent="0.25">
      <c r="B126" s="8">
        <f t="shared" ca="1" si="17"/>
        <v>1.5327656125384987</v>
      </c>
      <c r="C126" s="8">
        <f t="shared" ca="1" si="17"/>
        <v>2.4496226217480586</v>
      </c>
      <c r="D126" s="8">
        <f t="shared" ca="1" si="17"/>
        <v>2.5061233647566636</v>
      </c>
      <c r="E126" s="8">
        <f t="shared" ca="1" si="17"/>
        <v>1.9111081033627566</v>
      </c>
      <c r="F126" s="8">
        <f t="shared" ca="1" si="17"/>
        <v>1.8554083723519752</v>
      </c>
      <c r="G126" s="8">
        <f t="shared" ca="1" si="17"/>
        <v>2.915835919751832</v>
      </c>
      <c r="H126" s="8">
        <f t="shared" ca="1" si="17"/>
        <v>2.2090383400591969</v>
      </c>
      <c r="I126" s="8">
        <f t="shared" ca="1" si="17"/>
        <v>2.656104396917093</v>
      </c>
      <c r="J126" s="8">
        <f t="shared" ca="1" si="17"/>
        <v>1.0403839462041264</v>
      </c>
      <c r="K126" s="8">
        <f t="shared" ca="1" si="11"/>
        <v>2.1195989641878001</v>
      </c>
      <c r="L126" s="8">
        <f t="shared" ca="1" si="12"/>
        <v>0.59271526079205439</v>
      </c>
      <c r="M126" s="8">
        <f t="shared" ca="1" si="13"/>
        <v>0.57470119521912355</v>
      </c>
      <c r="N126" s="8">
        <f t="shared" ca="1" si="14"/>
        <v>0.80378486055776888</v>
      </c>
    </row>
    <row r="127" spans="2:14" x14ac:dyDescent="0.25">
      <c r="B127" s="8">
        <f t="shared" ca="1" si="17"/>
        <v>2.1072559593971252</v>
      </c>
      <c r="C127" s="8">
        <f t="shared" ca="1" si="17"/>
        <v>1.9254871372309375</v>
      </c>
      <c r="D127" s="8">
        <f t="shared" ca="1" si="17"/>
        <v>1.0765862503471568</v>
      </c>
      <c r="E127" s="8">
        <f t="shared" ca="1" si="17"/>
        <v>1.8686992229370742</v>
      </c>
      <c r="F127" s="8">
        <f t="shared" ca="1" si="17"/>
        <v>1.5177630938430879</v>
      </c>
      <c r="G127" s="8">
        <f t="shared" ca="1" si="17"/>
        <v>3.4420330534757646</v>
      </c>
      <c r="H127" s="8">
        <f t="shared" ca="1" si="17"/>
        <v>2.4149239054206149</v>
      </c>
      <c r="I127" s="8">
        <f t="shared" ca="1" si="17"/>
        <v>2.586108601605126</v>
      </c>
      <c r="J127" s="8">
        <f t="shared" ca="1" si="17"/>
        <v>1.7630377920669629</v>
      </c>
      <c r="K127" s="8">
        <f t="shared" ca="1" si="11"/>
        <v>2.0779883351470945</v>
      </c>
      <c r="L127" s="8">
        <f t="shared" ca="1" si="12"/>
        <v>0.68155128383786112</v>
      </c>
      <c r="M127" s="8">
        <f t="shared" ca="1" si="13"/>
        <v>0.4352589641434263</v>
      </c>
      <c r="N127" s="8">
        <f t="shared" ca="1" si="14"/>
        <v>0.94322709163346607</v>
      </c>
    </row>
    <row r="128" spans="2:14" x14ac:dyDescent="0.25">
      <c r="B128" s="8">
        <f t="shared" ca="1" si="17"/>
        <v>1.4127560366494469</v>
      </c>
      <c r="C128" s="8">
        <f t="shared" ca="1" si="17"/>
        <v>3.0975539189802479</v>
      </c>
      <c r="D128" s="8">
        <f t="shared" ca="1" si="17"/>
        <v>2.1928948847080938</v>
      </c>
      <c r="E128" s="8">
        <f t="shared" ca="1" si="17"/>
        <v>1.6552114412782681</v>
      </c>
      <c r="F128" s="8">
        <f t="shared" ca="1" si="17"/>
        <v>1.9032724328940114</v>
      </c>
      <c r="G128" s="8">
        <f t="shared" ca="1" si="17"/>
        <v>0.3054216815074271</v>
      </c>
      <c r="H128" s="8">
        <f t="shared" ca="1" si="17"/>
        <v>1.3722253670865221</v>
      </c>
      <c r="I128" s="8">
        <f t="shared" ca="1" si="17"/>
        <v>1.618699448340839</v>
      </c>
      <c r="J128" s="8">
        <f t="shared" ca="1" si="17"/>
        <v>2.2493495861329142</v>
      </c>
      <c r="K128" s="8">
        <f t="shared" ca="1" si="11"/>
        <v>1.7563760886197524</v>
      </c>
      <c r="L128" s="8">
        <f t="shared" ca="1" si="12"/>
        <v>0.76272639170608503</v>
      </c>
      <c r="M128" s="8">
        <f t="shared" ca="1" si="13"/>
        <v>6.9721115537848596E-3</v>
      </c>
      <c r="N128" s="8">
        <f t="shared" ca="1" si="14"/>
        <v>0.98306772908366535</v>
      </c>
    </row>
    <row r="129" spans="2:14" x14ac:dyDescent="0.25">
      <c r="B129" s="8">
        <f t="shared" ca="1" si="17"/>
        <v>2.8072540534549417</v>
      </c>
      <c r="C129" s="8">
        <f t="shared" ca="1" si="17"/>
        <v>2.1623530110326272</v>
      </c>
      <c r="D129" s="8">
        <f t="shared" ca="1" si="17"/>
        <v>2.1520094727639534</v>
      </c>
      <c r="E129" s="8">
        <f t="shared" ca="1" si="17"/>
        <v>1.9917877044067067</v>
      </c>
      <c r="F129" s="8">
        <f t="shared" ca="1" si="17"/>
        <v>2.4979957030904143</v>
      </c>
      <c r="G129" s="8">
        <f t="shared" ca="1" si="17"/>
        <v>1.7690237100752999</v>
      </c>
      <c r="H129" s="8">
        <f t="shared" ca="1" si="17"/>
        <v>2.3780915418937667</v>
      </c>
      <c r="I129" s="8">
        <f t="shared" ca="1" si="17"/>
        <v>1.400839586152558</v>
      </c>
      <c r="J129" s="8">
        <f t="shared" ca="1" si="17"/>
        <v>2.7127243583891709</v>
      </c>
      <c r="K129" s="8">
        <f t="shared" ca="1" si="11"/>
        <v>2.2080087934732711</v>
      </c>
      <c r="L129" s="8">
        <f t="shared" ca="1" si="12"/>
        <v>0.45042413325920011</v>
      </c>
      <c r="M129" s="8">
        <f t="shared" ca="1" si="13"/>
        <v>0.81374501992031867</v>
      </c>
      <c r="N129" s="8">
        <f t="shared" ca="1" si="14"/>
        <v>0.4352589641434263</v>
      </c>
    </row>
    <row r="130" spans="2:14" x14ac:dyDescent="0.25">
      <c r="B130" s="8">
        <f t="shared" ca="1" si="17"/>
        <v>1.7385399910544956</v>
      </c>
      <c r="C130" s="8">
        <f t="shared" ca="1" si="17"/>
        <v>1.7606076495497751</v>
      </c>
      <c r="D130" s="8">
        <f t="shared" ca="1" si="17"/>
        <v>2.0116025347263657</v>
      </c>
      <c r="E130" s="8">
        <f t="shared" ca="1" si="17"/>
        <v>2.5380090511677862</v>
      </c>
      <c r="F130" s="8">
        <f t="shared" ca="1" si="17"/>
        <v>2.8638751563128308</v>
      </c>
      <c r="G130" s="8">
        <f t="shared" ca="1" si="17"/>
        <v>2.9109995246313698</v>
      </c>
      <c r="H130" s="8">
        <f t="shared" ca="1" si="17"/>
        <v>1.8598746196836911</v>
      </c>
      <c r="I130" s="8">
        <f t="shared" ca="1" si="17"/>
        <v>1.5185051673230325</v>
      </c>
      <c r="J130" s="8">
        <f t="shared" ca="1" si="17"/>
        <v>2.0194150235159771</v>
      </c>
      <c r="K130" s="8">
        <f t="shared" ca="1" si="11"/>
        <v>2.1357143019961473</v>
      </c>
      <c r="L130" s="8">
        <f t="shared" ca="1" si="12"/>
        <v>0.50960067756532834</v>
      </c>
      <c r="M130" s="8">
        <f t="shared" ca="1" si="13"/>
        <v>0.6344621513944223</v>
      </c>
      <c r="N130" s="8">
        <f t="shared" ca="1" si="14"/>
        <v>0.64442231075697209</v>
      </c>
    </row>
    <row r="131" spans="2:14" x14ac:dyDescent="0.25">
      <c r="B131" s="8">
        <f t="shared" ca="1" si="17"/>
        <v>1.9803657912605848</v>
      </c>
      <c r="C131" s="8">
        <f t="shared" ca="1" si="17"/>
        <v>2.6666279222306328</v>
      </c>
      <c r="D131" s="8">
        <f t="shared" ca="1" si="17"/>
        <v>1.9550443863169533</v>
      </c>
      <c r="E131" s="8">
        <f t="shared" ca="1" si="17"/>
        <v>2.2451536937229255</v>
      </c>
      <c r="F131" s="8">
        <f t="shared" ca="1" si="17"/>
        <v>2.4580878022949273</v>
      </c>
      <c r="G131" s="8">
        <f t="shared" ca="1" si="17"/>
        <v>1.8812882081058953</v>
      </c>
      <c r="H131" s="8">
        <f t="shared" ca="1" si="17"/>
        <v>2.0848145843373183</v>
      </c>
      <c r="I131" s="8">
        <f t="shared" ca="1" si="17"/>
        <v>2.026438129705888</v>
      </c>
      <c r="J131" s="8">
        <f t="shared" ca="1" si="17"/>
        <v>2.0823312650642993</v>
      </c>
      <c r="K131" s="8">
        <f t="shared" ca="1" si="11"/>
        <v>2.1533501981154917</v>
      </c>
      <c r="L131" s="8">
        <f t="shared" ca="1" si="12"/>
        <v>0.25832656900018997</v>
      </c>
      <c r="M131" s="8">
        <f t="shared" ca="1" si="13"/>
        <v>0.68426294820717126</v>
      </c>
      <c r="N131" s="8">
        <f t="shared" ca="1" si="14"/>
        <v>2.6892430278884463E-2</v>
      </c>
    </row>
  </sheetData>
  <mergeCells count="2">
    <mergeCell ref="E10:F10"/>
    <mergeCell ref="B31:J31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Q76"/>
  <sheetViews>
    <sheetView zoomScaleNormal="100" workbookViewId="0">
      <selection activeCell="G28" sqref="G28"/>
    </sheetView>
  </sheetViews>
  <sheetFormatPr defaultRowHeight="15" x14ac:dyDescent="0.25"/>
  <cols>
    <col min="1" max="1" width="3.140625" style="5" customWidth="1"/>
    <col min="2" max="16384" width="9.140625" style="5"/>
  </cols>
  <sheetData>
    <row r="1" spans="2:17" ht="15.75" x14ac:dyDescent="0.25">
      <c r="B1" s="4" t="s">
        <v>53</v>
      </c>
    </row>
    <row r="2" spans="2:17" x14ac:dyDescent="0.25">
      <c r="B2" s="5" t="s">
        <v>39</v>
      </c>
    </row>
    <row r="6" spans="2:17" x14ac:dyDescent="0.25">
      <c r="Q6" s="16"/>
    </row>
    <row r="7" spans="2:17" x14ac:dyDescent="0.25">
      <c r="I7" s="18" t="s">
        <v>38</v>
      </c>
      <c r="J7" s="18" t="s">
        <v>40</v>
      </c>
      <c r="K7" s="18" t="s">
        <v>41</v>
      </c>
      <c r="L7" s="18" t="s">
        <v>42</v>
      </c>
      <c r="M7" s="18" t="s">
        <v>43</v>
      </c>
      <c r="N7" s="18" t="s">
        <v>4</v>
      </c>
    </row>
    <row r="8" spans="2:17" x14ac:dyDescent="0.25">
      <c r="F8" s="17"/>
      <c r="I8" s="5">
        <v>-3.5</v>
      </c>
      <c r="J8" s="5">
        <f t="shared" ref="J8:J36" si="0">$C$23 + $C$24*I8</f>
        <v>-3.5</v>
      </c>
      <c r="K8" s="5">
        <f t="shared" ref="K8:K36" ca="1" si="1">$D$23 + $D$24*$I8 - SQRT($E$23^2 + $I8^2*$E$24^2)</f>
        <v>-4.5615581387543651</v>
      </c>
      <c r="L8" s="5">
        <f t="shared" ref="L8:L36" ca="1" si="2">$D$23 + $D$24*$I8</f>
        <v>-3.5849523910033474</v>
      </c>
      <c r="M8" s="5">
        <f t="shared" ref="M8:M36" ca="1" si="3">$D$23 + $D$24*$I8 + SQRT($E$23^2 + $I8^2*$E$24^2)</f>
        <v>-2.6083466432523301</v>
      </c>
      <c r="N8" s="5">
        <f t="shared" ref="N8:N36" si="4">NORMSDIST(I8)</f>
        <v>2.3262907903552504E-4</v>
      </c>
    </row>
    <row r="9" spans="2:17" x14ac:dyDescent="0.25">
      <c r="I9" s="5">
        <v>-3.25</v>
      </c>
      <c r="J9" s="5">
        <f t="shared" si="0"/>
        <v>-3.25</v>
      </c>
      <c r="K9" s="5">
        <f t="shared" ca="1" si="1"/>
        <v>-4.2528373969753979</v>
      </c>
      <c r="L9" s="5">
        <f t="shared" ca="1" si="2"/>
        <v>-3.3358444786237111</v>
      </c>
      <c r="M9" s="5">
        <f t="shared" ca="1" si="3"/>
        <v>-2.418851560272024</v>
      </c>
      <c r="N9" s="5">
        <f t="shared" si="4"/>
        <v>5.7702504239076603E-4</v>
      </c>
    </row>
    <row r="10" spans="2:17" x14ac:dyDescent="0.25">
      <c r="I10" s="5">
        <v>-3</v>
      </c>
      <c r="J10" s="5">
        <f t="shared" si="0"/>
        <v>-3</v>
      </c>
      <c r="K10" s="5">
        <f t="shared" ca="1" si="1"/>
        <v>-3.9448478207176425</v>
      </c>
      <c r="L10" s="5">
        <f t="shared" ca="1" si="2"/>
        <v>-3.0867365662440753</v>
      </c>
      <c r="M10" s="5">
        <f t="shared" ca="1" si="3"/>
        <v>-2.2286253117705082</v>
      </c>
      <c r="N10" s="5">
        <f t="shared" si="4"/>
        <v>1.3498980316300933E-3</v>
      </c>
    </row>
    <row r="11" spans="2:17" x14ac:dyDescent="0.25">
      <c r="I11" s="5">
        <v>-2.75</v>
      </c>
      <c r="J11" s="5">
        <f t="shared" si="0"/>
        <v>-2.75</v>
      </c>
      <c r="K11" s="5">
        <f t="shared" ca="1" si="1"/>
        <v>-3.6377508475208149</v>
      </c>
      <c r="L11" s="5">
        <f t="shared" ca="1" si="2"/>
        <v>-2.8376286538644395</v>
      </c>
      <c r="M11" s="5">
        <f t="shared" ca="1" si="3"/>
        <v>-2.0375064602080641</v>
      </c>
      <c r="N11" s="5">
        <f t="shared" si="4"/>
        <v>2.9797632350545551E-3</v>
      </c>
    </row>
    <row r="12" spans="2:17" x14ac:dyDescent="0.25">
      <c r="I12" s="5">
        <v>-2.5</v>
      </c>
      <c r="J12" s="5">
        <f t="shared" si="0"/>
        <v>-2.5</v>
      </c>
      <c r="K12" s="5">
        <f t="shared" ca="1" si="1"/>
        <v>-3.3317554362407855</v>
      </c>
      <c r="L12" s="5">
        <f t="shared" ca="1" si="2"/>
        <v>-2.5885207414848037</v>
      </c>
      <c r="M12" s="5">
        <f t="shared" ca="1" si="3"/>
        <v>-1.8452860467288219</v>
      </c>
      <c r="N12" s="5">
        <f t="shared" si="4"/>
        <v>6.2096653257761331E-3</v>
      </c>
    </row>
    <row r="13" spans="2:17" x14ac:dyDescent="0.25">
      <c r="I13" s="5">
        <v>-2.25</v>
      </c>
      <c r="J13" s="5">
        <f t="shared" si="0"/>
        <v>-2.25</v>
      </c>
      <c r="K13" s="5">
        <f t="shared" ca="1" si="1"/>
        <v>-3.0271350006081517</v>
      </c>
      <c r="L13" s="5">
        <f t="shared" ca="1" si="2"/>
        <v>-2.3394128291051679</v>
      </c>
      <c r="M13" s="5">
        <f t="shared" ca="1" si="3"/>
        <v>-1.6516906576021841</v>
      </c>
      <c r="N13" s="5">
        <f t="shared" si="4"/>
        <v>1.2224472655044696E-2</v>
      </c>
    </row>
    <row r="14" spans="2:17" x14ac:dyDescent="0.25">
      <c r="I14" s="5">
        <v>-2</v>
      </c>
      <c r="J14" s="5">
        <f t="shared" si="0"/>
        <v>-2</v>
      </c>
      <c r="K14" s="5">
        <f t="shared" ca="1" si="1"/>
        <v>-2.7242508496289437</v>
      </c>
      <c r="L14" s="5">
        <f t="shared" ca="1" si="2"/>
        <v>-2.0903049167255321</v>
      </c>
      <c r="M14" s="5">
        <f t="shared" ca="1" si="3"/>
        <v>-1.4563589838221203</v>
      </c>
      <c r="N14" s="5">
        <f t="shared" si="4"/>
        <v>2.2750131948179191E-2</v>
      </c>
    </row>
    <row r="15" spans="2:17" x14ac:dyDescent="0.25">
      <c r="I15" s="5">
        <v>-1.75</v>
      </c>
      <c r="J15" s="5">
        <f t="shared" si="0"/>
        <v>-1.75</v>
      </c>
      <c r="K15" s="5">
        <f t="shared" ca="1" si="1"/>
        <v>-2.4235841552112038</v>
      </c>
      <c r="L15" s="5">
        <f t="shared" ca="1" si="2"/>
        <v>-1.8411970043458961</v>
      </c>
      <c r="M15" s="5">
        <f t="shared" ca="1" si="3"/>
        <v>-1.2588098534805885</v>
      </c>
      <c r="N15" s="5">
        <f t="shared" si="4"/>
        <v>4.00591568638171E-2</v>
      </c>
    </row>
    <row r="16" spans="2:17" x14ac:dyDescent="0.25">
      <c r="I16" s="5">
        <v>-1.5</v>
      </c>
      <c r="J16" s="5">
        <f t="shared" si="0"/>
        <v>-1.5</v>
      </c>
      <c r="K16" s="5">
        <f t="shared" ca="1" si="1"/>
        <v>-2.1257779789795457</v>
      </c>
      <c r="L16" s="5">
        <f t="shared" ca="1" si="2"/>
        <v>-1.59208909196626</v>
      </c>
      <c r="M16" s="5">
        <f t="shared" ca="1" si="3"/>
        <v>-1.0584002049529744</v>
      </c>
      <c r="N16" s="5">
        <f t="shared" si="4"/>
        <v>6.6807201268858057E-2</v>
      </c>
    </row>
    <row r="17" spans="2:14" x14ac:dyDescent="0.25">
      <c r="I17" s="5">
        <v>-1.25</v>
      </c>
      <c r="J17" s="5">
        <f t="shared" si="0"/>
        <v>-1.25</v>
      </c>
      <c r="K17" s="5">
        <f t="shared" ca="1" si="1"/>
        <v>-1.8316881978810047</v>
      </c>
      <c r="L17" s="5">
        <f t="shared" ca="1" si="2"/>
        <v>-1.3429811795866242</v>
      </c>
      <c r="M17" s="5">
        <f t="shared" ca="1" si="3"/>
        <v>-0.85427416129224376</v>
      </c>
      <c r="N17" s="5">
        <f t="shared" si="4"/>
        <v>0.10564977366685525</v>
      </c>
    </row>
    <row r="18" spans="2:14" x14ac:dyDescent="0.25">
      <c r="I18" s="5">
        <v>-1</v>
      </c>
      <c r="J18" s="5">
        <f t="shared" si="0"/>
        <v>-1</v>
      </c>
      <c r="K18" s="5">
        <f t="shared" ca="1" si="1"/>
        <v>-1.5424342533829196</v>
      </c>
      <c r="L18" s="5">
        <f t="shared" ca="1" si="2"/>
        <v>-1.0938732672069884</v>
      </c>
      <c r="M18" s="5">
        <f t="shared" ca="1" si="3"/>
        <v>-0.6453122810310572</v>
      </c>
      <c r="N18" s="5">
        <f t="shared" si="4"/>
        <v>0.15865525393145699</v>
      </c>
    </row>
    <row r="19" spans="2:14" x14ac:dyDescent="0.25">
      <c r="I19" s="5">
        <v>-0.75</v>
      </c>
      <c r="J19" s="5">
        <f t="shared" si="0"/>
        <v>-0.75</v>
      </c>
      <c r="K19" s="5">
        <f t="shared" ca="1" si="1"/>
        <v>-1.2594231099559638</v>
      </c>
      <c r="L19" s="5">
        <f t="shared" ca="1" si="2"/>
        <v>-0.84476535482735238</v>
      </c>
      <c r="M19" s="5">
        <f t="shared" ca="1" si="3"/>
        <v>-0.43010759969874096</v>
      </c>
      <c r="N19" s="5">
        <f t="shared" si="4"/>
        <v>0.22662735237686821</v>
      </c>
    </row>
    <row r="20" spans="2:14" x14ac:dyDescent="0.25">
      <c r="I20" s="5">
        <v>-0.5</v>
      </c>
      <c r="J20" s="5">
        <f t="shared" si="0"/>
        <v>-0.5</v>
      </c>
      <c r="K20" s="5">
        <f t="shared" ca="1" si="1"/>
        <v>-0.98429202201792232</v>
      </c>
      <c r="L20" s="5">
        <f t="shared" ca="1" si="2"/>
        <v>-0.59565744244771657</v>
      </c>
      <c r="M20" s="5">
        <f t="shared" ca="1" si="3"/>
        <v>-0.20702286287751087</v>
      </c>
      <c r="N20" s="5">
        <f t="shared" si="4"/>
        <v>0.30853753872598688</v>
      </c>
    </row>
    <row r="21" spans="2:14" x14ac:dyDescent="0.25">
      <c r="I21" s="5">
        <v>-0.25</v>
      </c>
      <c r="J21" s="5">
        <f t="shared" si="0"/>
        <v>-0.25</v>
      </c>
      <c r="K21" s="5">
        <f t="shared" ca="1" si="1"/>
        <v>-0.71869776124398888</v>
      </c>
      <c r="L21" s="5">
        <f t="shared" ca="1" si="2"/>
        <v>-0.34654953006808065</v>
      </c>
      <c r="M21" s="5">
        <f t="shared" ca="1" si="3"/>
        <v>2.5598701107827526E-2</v>
      </c>
      <c r="N21" s="5">
        <f t="shared" si="4"/>
        <v>0.4012936743170763</v>
      </c>
    </row>
    <row r="22" spans="2:14" x14ac:dyDescent="0.25">
      <c r="C22" s="18" t="s">
        <v>44</v>
      </c>
      <c r="D22" s="18" t="s">
        <v>33</v>
      </c>
      <c r="E22" s="18" t="s">
        <v>34</v>
      </c>
      <c r="I22" s="5">
        <v>0</v>
      </c>
      <c r="J22" s="5">
        <f t="shared" si="0"/>
        <v>0</v>
      </c>
      <c r="K22" s="5">
        <f t="shared" ca="1" si="1"/>
        <v>-0.46392962905749269</v>
      </c>
      <c r="L22" s="5">
        <f t="shared" ca="1" si="2"/>
        <v>-9.7441617688444754E-2</v>
      </c>
      <c r="M22" s="5">
        <f t="shared" ca="1" si="3"/>
        <v>0.26904639368060324</v>
      </c>
      <c r="N22" s="5">
        <f t="shared" si="4"/>
        <v>0.5</v>
      </c>
    </row>
    <row r="23" spans="2:14" x14ac:dyDescent="0.25">
      <c r="B23" s="24" t="s">
        <v>36</v>
      </c>
      <c r="C23" s="20">
        <v>0</v>
      </c>
      <c r="D23" s="5">
        <f ca="1">AVERAGE(C28:C47)</f>
        <v>-9.7441617688444754E-2</v>
      </c>
      <c r="E23" s="5">
        <f ca="1">NORMSINV($C$25)*$D$24/SQRT($C$26)</f>
        <v>0.36648801136904796</v>
      </c>
      <c r="I23" s="5">
        <v>0.25</v>
      </c>
      <c r="J23" s="5">
        <f t="shared" si="0"/>
        <v>0.25</v>
      </c>
      <c r="K23" s="5">
        <f t="shared" ca="1" si="1"/>
        <v>-0.22048193648471703</v>
      </c>
      <c r="L23" s="5">
        <f t="shared" ca="1" si="2"/>
        <v>0.15166629469119114</v>
      </c>
      <c r="M23" s="5">
        <f t="shared" ca="1" si="3"/>
        <v>0.52381452586709931</v>
      </c>
      <c r="N23" s="5">
        <f t="shared" si="4"/>
        <v>0.5987063256829237</v>
      </c>
    </row>
    <row r="24" spans="2:14" x14ac:dyDescent="0.25">
      <c r="B24" s="24" t="s">
        <v>37</v>
      </c>
      <c r="C24" s="20">
        <v>1</v>
      </c>
      <c r="D24" s="5">
        <f ca="1">STDEV(C28:C47)</f>
        <v>0.99643164951854357</v>
      </c>
      <c r="E24" s="5">
        <f ca="1">$D$24*(SQRT(CHIINV(1-$C$25,($C$26-1))/($C$26-1)) - 1)</f>
        <v>0.25863776955789819</v>
      </c>
      <c r="I24" s="5">
        <v>0.5</v>
      </c>
      <c r="J24" s="5">
        <f t="shared" si="0"/>
        <v>0.5</v>
      </c>
      <c r="K24" s="5">
        <f t="shared" ca="1" si="1"/>
        <v>1.2139627500621308E-2</v>
      </c>
      <c r="L24" s="5">
        <f t="shared" ca="1" si="2"/>
        <v>0.400774207070827</v>
      </c>
      <c r="M24" s="5">
        <f t="shared" ca="1" si="3"/>
        <v>0.78940878664103264</v>
      </c>
      <c r="N24" s="5">
        <f t="shared" si="4"/>
        <v>0.69146246127401312</v>
      </c>
    </row>
    <row r="25" spans="2:14" x14ac:dyDescent="0.25">
      <c r="B25" s="24" t="s">
        <v>32</v>
      </c>
      <c r="C25" s="25">
        <v>0.95</v>
      </c>
      <c r="I25" s="5">
        <v>0.75</v>
      </c>
      <c r="J25" s="5">
        <f t="shared" si="0"/>
        <v>0.75</v>
      </c>
      <c r="K25" s="5">
        <f t="shared" ca="1" si="1"/>
        <v>0.23522436432185151</v>
      </c>
      <c r="L25" s="5">
        <f t="shared" ca="1" si="2"/>
        <v>0.64988211945046293</v>
      </c>
      <c r="M25" s="5">
        <f t="shared" ca="1" si="3"/>
        <v>1.0645398745790744</v>
      </c>
      <c r="N25" s="5">
        <f t="shared" si="4"/>
        <v>0.77337264762313174</v>
      </c>
    </row>
    <row r="26" spans="2:14" x14ac:dyDescent="0.25">
      <c r="B26" s="24" t="s">
        <v>35</v>
      </c>
      <c r="C26" s="5">
        <f ca="1">COUNT(C28:C47)</f>
        <v>20</v>
      </c>
      <c r="I26" s="5">
        <v>1</v>
      </c>
      <c r="J26" s="5">
        <f t="shared" si="0"/>
        <v>1</v>
      </c>
      <c r="K26" s="5">
        <f t="shared" ca="1" si="1"/>
        <v>0.45042904565416769</v>
      </c>
      <c r="L26" s="5">
        <f t="shared" ca="1" si="2"/>
        <v>0.89899003183009885</v>
      </c>
      <c r="M26" s="5">
        <f t="shared" ca="1" si="3"/>
        <v>1.3475510180060299</v>
      </c>
      <c r="N26" s="5">
        <f t="shared" si="4"/>
        <v>0.84134474606854304</v>
      </c>
    </row>
    <row r="27" spans="2:14" x14ac:dyDescent="0.25">
      <c r="B27" s="18" t="s">
        <v>45</v>
      </c>
      <c r="C27" s="18" t="s">
        <v>3</v>
      </c>
      <c r="D27" s="18" t="s">
        <v>5</v>
      </c>
      <c r="I27" s="5">
        <v>1.25</v>
      </c>
      <c r="J27" s="5">
        <f t="shared" si="0"/>
        <v>1.25</v>
      </c>
      <c r="K27" s="5">
        <f t="shared" ca="1" si="1"/>
        <v>0.65939092591535431</v>
      </c>
      <c r="L27" s="5">
        <f t="shared" ca="1" si="2"/>
        <v>1.1480979442097348</v>
      </c>
      <c r="M27" s="5">
        <f t="shared" ca="1" si="3"/>
        <v>1.6368049625041152</v>
      </c>
      <c r="N27" s="5">
        <f t="shared" si="4"/>
        <v>0.89435022633314476</v>
      </c>
    </row>
    <row r="28" spans="2:14" x14ac:dyDescent="0.25">
      <c r="B28" s="5">
        <f ca="1">RANK($C28,$C$28:$C$47,1)</f>
        <v>5</v>
      </c>
      <c r="C28" s="5">
        <f t="shared" ref="C28:C47" ca="1" si="5">NORMINV(RAND(), $C$23, $C$24)</f>
        <v>-1.0596635606551186</v>
      </c>
      <c r="D28" s="5">
        <f ca="1">_xlfn.NORM.S.INV((B28-0.3) / ($C$26+0.4))</f>
        <v>-0.73755597988205279</v>
      </c>
      <c r="I28" s="5">
        <v>1.5</v>
      </c>
      <c r="J28" s="5">
        <f t="shared" si="0"/>
        <v>1.5</v>
      </c>
      <c r="K28" s="5">
        <f t="shared" ca="1" si="1"/>
        <v>0.86351696957608504</v>
      </c>
      <c r="L28" s="5">
        <f t="shared" ca="1" si="2"/>
        <v>1.3972058565893706</v>
      </c>
      <c r="M28" s="5">
        <f t="shared" ca="1" si="3"/>
        <v>1.9308947436026562</v>
      </c>
      <c r="N28" s="5">
        <f t="shared" si="4"/>
        <v>0.93319279873114191</v>
      </c>
    </row>
    <row r="29" spans="2:14" x14ac:dyDescent="0.25">
      <c r="B29" s="5">
        <f t="shared" ref="B29:B47" ca="1" si="6">RANK($C29,$C$28:$C$47,1)</f>
        <v>7</v>
      </c>
      <c r="C29" s="5">
        <f t="shared" ca="1" si="5"/>
        <v>-0.42962496205848133</v>
      </c>
      <c r="D29" s="5">
        <f t="shared" ref="D29:D47" ca="1" si="7">_xlfn.NORM.S.INV((B29-0.3) / ($C$26+0.4))</f>
        <v>-0.44424875676134479</v>
      </c>
      <c r="I29" s="5">
        <v>1.75</v>
      </c>
      <c r="J29" s="5">
        <f t="shared" si="0"/>
        <v>1.75</v>
      </c>
      <c r="K29" s="5">
        <f t="shared" ca="1" si="1"/>
        <v>1.063926618103699</v>
      </c>
      <c r="L29" s="5">
        <f t="shared" ca="1" si="2"/>
        <v>1.6463137689690066</v>
      </c>
      <c r="M29" s="5">
        <f t="shared" ca="1" si="3"/>
        <v>2.2287009198343144</v>
      </c>
      <c r="N29" s="5">
        <f t="shared" si="4"/>
        <v>0.95994084313618289</v>
      </c>
    </row>
    <row r="30" spans="2:14" x14ac:dyDescent="0.25">
      <c r="B30" s="5">
        <f t="shared" ca="1" si="6"/>
        <v>16</v>
      </c>
      <c r="C30" s="5">
        <f t="shared" ca="1" si="5"/>
        <v>0.52563435958022886</v>
      </c>
      <c r="D30" s="5">
        <f t="shared" ca="1" si="7"/>
        <v>0.73755597988205235</v>
      </c>
      <c r="I30" s="5">
        <v>2</v>
      </c>
      <c r="J30" s="5">
        <f t="shared" si="0"/>
        <v>2</v>
      </c>
      <c r="K30" s="5">
        <f t="shared" ca="1" si="1"/>
        <v>1.2614757484452306</v>
      </c>
      <c r="L30" s="5">
        <f t="shared" ca="1" si="2"/>
        <v>1.8954216813486424</v>
      </c>
      <c r="M30" s="5">
        <f t="shared" ca="1" si="3"/>
        <v>2.5293676142520543</v>
      </c>
      <c r="N30" s="5">
        <f t="shared" si="4"/>
        <v>0.97724986805182079</v>
      </c>
    </row>
    <row r="31" spans="2:14" x14ac:dyDescent="0.25">
      <c r="B31" s="5">
        <f t="shared" ca="1" si="6"/>
        <v>11</v>
      </c>
      <c r="C31" s="5">
        <f t="shared" ca="1" si="5"/>
        <v>0.10476606569023401</v>
      </c>
      <c r="D31" s="5">
        <f t="shared" ca="1" si="7"/>
        <v>6.1475667639406824E-2</v>
      </c>
      <c r="I31" s="5">
        <v>2.25</v>
      </c>
      <c r="J31" s="5">
        <f t="shared" si="0"/>
        <v>2.25</v>
      </c>
      <c r="K31" s="5">
        <f t="shared" ca="1" si="1"/>
        <v>1.4568074222252947</v>
      </c>
      <c r="L31" s="5">
        <f t="shared" ca="1" si="2"/>
        <v>2.1445295937282784</v>
      </c>
      <c r="M31" s="5">
        <f t="shared" ca="1" si="3"/>
        <v>2.8322517652312622</v>
      </c>
      <c r="N31" s="5">
        <f t="shared" si="4"/>
        <v>0.98777552734495533</v>
      </c>
    </row>
    <row r="32" spans="2:14" x14ac:dyDescent="0.25">
      <c r="B32" s="5">
        <f t="shared" ca="1" si="6"/>
        <v>12</v>
      </c>
      <c r="C32" s="5">
        <f t="shared" ca="1" si="5"/>
        <v>0.19603632814619518</v>
      </c>
      <c r="D32" s="5">
        <f t="shared" ca="1" si="7"/>
        <v>0.18536701728959662</v>
      </c>
      <c r="I32" s="5">
        <v>2.5</v>
      </c>
      <c r="J32" s="5">
        <f t="shared" si="0"/>
        <v>2.5</v>
      </c>
      <c r="K32" s="5">
        <f t="shared" ca="1" si="1"/>
        <v>1.6504028113519325</v>
      </c>
      <c r="L32" s="5">
        <f t="shared" ca="1" si="2"/>
        <v>2.3936375061079143</v>
      </c>
      <c r="M32" s="5">
        <f t="shared" ca="1" si="3"/>
        <v>3.1368722008638961</v>
      </c>
      <c r="N32" s="5">
        <f t="shared" si="4"/>
        <v>0.99379033467422384</v>
      </c>
    </row>
    <row r="33" spans="2:14" x14ac:dyDescent="0.25">
      <c r="B33" s="5">
        <f t="shared" ca="1" si="6"/>
        <v>1</v>
      </c>
      <c r="C33" s="5">
        <f t="shared" ca="1" si="5"/>
        <v>-1.7839600944834333</v>
      </c>
      <c r="D33" s="5">
        <f t="shared" ca="1" si="7"/>
        <v>-1.8208645376396548</v>
      </c>
      <c r="I33" s="5">
        <v>2.75</v>
      </c>
      <c r="J33" s="5">
        <f t="shared" si="0"/>
        <v>2.75</v>
      </c>
      <c r="K33" s="5">
        <f t="shared" ca="1" si="1"/>
        <v>1.8426232248311745</v>
      </c>
      <c r="L33" s="5">
        <f t="shared" ca="1" si="2"/>
        <v>2.6427454184875501</v>
      </c>
      <c r="M33" s="5">
        <f t="shared" ca="1" si="3"/>
        <v>3.4428676121439254</v>
      </c>
      <c r="N33" s="5">
        <f t="shared" si="4"/>
        <v>0.99702023676494544</v>
      </c>
    </row>
    <row r="34" spans="2:14" x14ac:dyDescent="0.25">
      <c r="B34" s="5">
        <f t="shared" ca="1" si="6"/>
        <v>8</v>
      </c>
      <c r="C34" s="5">
        <f t="shared" ca="1" si="5"/>
        <v>-0.1884291592459757</v>
      </c>
      <c r="D34" s="5">
        <f t="shared" ca="1" si="7"/>
        <v>-0.3121823291636498</v>
      </c>
      <c r="I34" s="5">
        <v>3</v>
      </c>
      <c r="J34" s="5">
        <f t="shared" si="0"/>
        <v>3</v>
      </c>
      <c r="K34" s="5">
        <f t="shared" ca="1" si="1"/>
        <v>2.0337420763936187</v>
      </c>
      <c r="L34" s="5">
        <f t="shared" ca="1" si="2"/>
        <v>2.8918533308671859</v>
      </c>
      <c r="M34" s="5">
        <f t="shared" ca="1" si="3"/>
        <v>3.7499645853407531</v>
      </c>
      <c r="N34" s="5">
        <f t="shared" si="4"/>
        <v>0.9986501019683699</v>
      </c>
    </row>
    <row r="35" spans="2:14" x14ac:dyDescent="0.25">
      <c r="B35" s="5">
        <f t="shared" ca="1" si="6"/>
        <v>2</v>
      </c>
      <c r="C35" s="5">
        <f t="shared" ca="1" si="5"/>
        <v>-1.6437087785161089</v>
      </c>
      <c r="D35" s="5">
        <f t="shared" ca="1" si="7"/>
        <v>-1.3829941271006372</v>
      </c>
      <c r="I35" s="5">
        <v>3.25</v>
      </c>
      <c r="J35" s="5">
        <f t="shared" si="0"/>
        <v>3.25</v>
      </c>
      <c r="K35" s="5">
        <f t="shared" ca="1" si="1"/>
        <v>2.2239683248951345</v>
      </c>
      <c r="L35" s="5">
        <f t="shared" ca="1" si="2"/>
        <v>3.1409612432468217</v>
      </c>
      <c r="M35" s="5">
        <f t="shared" ca="1" si="3"/>
        <v>4.0579541615985093</v>
      </c>
      <c r="N35" s="5">
        <f t="shared" si="4"/>
        <v>0.99942297495760923</v>
      </c>
    </row>
    <row r="36" spans="2:14" x14ac:dyDescent="0.25">
      <c r="B36" s="5">
        <f t="shared" ca="1" si="6"/>
        <v>10</v>
      </c>
      <c r="C36" s="5">
        <f t="shared" ca="1" si="5"/>
        <v>1.8934367284931621E-2</v>
      </c>
      <c r="D36" s="5">
        <f t="shared" ca="1" si="7"/>
        <v>-6.1475667639406824E-2</v>
      </c>
      <c r="I36" s="5">
        <v>3.5</v>
      </c>
      <c r="J36" s="5">
        <f t="shared" si="0"/>
        <v>3.5</v>
      </c>
      <c r="K36" s="5">
        <f t="shared" ca="1" si="1"/>
        <v>2.4134634078754407</v>
      </c>
      <c r="L36" s="5">
        <f t="shared" ca="1" si="2"/>
        <v>3.3900691556264579</v>
      </c>
      <c r="M36" s="5">
        <f t="shared" ca="1" si="3"/>
        <v>4.3666749033774757</v>
      </c>
      <c r="N36" s="5">
        <f t="shared" si="4"/>
        <v>0.99976737092096446</v>
      </c>
    </row>
    <row r="37" spans="2:14" x14ac:dyDescent="0.25">
      <c r="B37" s="5">
        <f t="shared" ca="1" si="6"/>
        <v>20</v>
      </c>
      <c r="C37" s="5">
        <f t="shared" ca="1" si="5"/>
        <v>2.1380249455206757</v>
      </c>
      <c r="D37" s="5">
        <f t="shared" ca="1" si="7"/>
        <v>1.8208645376396548</v>
      </c>
    </row>
    <row r="38" spans="2:14" x14ac:dyDescent="0.25">
      <c r="B38" s="5">
        <f t="shared" ca="1" si="6"/>
        <v>3</v>
      </c>
      <c r="C38" s="5">
        <f t="shared" ca="1" si="5"/>
        <v>-1.5152377083329789</v>
      </c>
      <c r="D38" s="5">
        <f t="shared" ca="1" si="7"/>
        <v>-1.1153373577337857</v>
      </c>
    </row>
    <row r="39" spans="2:14" x14ac:dyDescent="0.25">
      <c r="B39" s="5">
        <f t="shared" ca="1" si="6"/>
        <v>14</v>
      </c>
      <c r="C39" s="5">
        <f t="shared" ca="1" si="5"/>
        <v>0.51112416159390028</v>
      </c>
      <c r="D39" s="5">
        <f t="shared" ca="1" si="7"/>
        <v>0.44424875676134512</v>
      </c>
    </row>
    <row r="40" spans="2:14" x14ac:dyDescent="0.25">
      <c r="B40" s="5">
        <f t="shared" ca="1" si="6"/>
        <v>6</v>
      </c>
      <c r="C40" s="5">
        <f t="shared" ca="1" si="5"/>
        <v>-0.61283699324134033</v>
      </c>
      <c r="D40" s="5">
        <f t="shared" ca="1" si="7"/>
        <v>-0.58458985705947353</v>
      </c>
    </row>
    <row r="41" spans="2:14" x14ac:dyDescent="0.25">
      <c r="B41" s="5">
        <f t="shared" ca="1" si="6"/>
        <v>18</v>
      </c>
      <c r="C41" s="5">
        <f t="shared" ca="1" si="5"/>
        <v>0.68211907281909734</v>
      </c>
      <c r="D41" s="5">
        <f t="shared" ca="1" si="7"/>
        <v>1.1153373577337866</v>
      </c>
    </row>
    <row r="42" spans="2:14" x14ac:dyDescent="0.25">
      <c r="B42" s="5">
        <f t="shared" ca="1" si="6"/>
        <v>9</v>
      </c>
      <c r="C42" s="5">
        <f t="shared" ca="1" si="5"/>
        <v>-6.8595765227459318E-2</v>
      </c>
      <c r="D42" s="5">
        <f t="shared" ca="1" si="7"/>
        <v>-0.18536701728959676</v>
      </c>
    </row>
    <row r="43" spans="2:14" x14ac:dyDescent="0.25">
      <c r="B43" s="5">
        <f t="shared" ca="1" si="6"/>
        <v>13</v>
      </c>
      <c r="C43" s="5">
        <f t="shared" ca="1" si="5"/>
        <v>0.33157102701032271</v>
      </c>
      <c r="D43" s="5">
        <f t="shared" ca="1" si="7"/>
        <v>0.31218232916364996</v>
      </c>
    </row>
    <row r="44" spans="2:14" x14ac:dyDescent="0.25">
      <c r="B44" s="5">
        <f t="shared" ca="1" si="6"/>
        <v>19</v>
      </c>
      <c r="C44" s="5">
        <f t="shared" ca="1" si="5"/>
        <v>1.032151718516807</v>
      </c>
      <c r="D44" s="5">
        <f t="shared" ca="1" si="7"/>
        <v>1.3829941271006405</v>
      </c>
    </row>
    <row r="45" spans="2:14" x14ac:dyDescent="0.25">
      <c r="B45" s="5">
        <f t="shared" ca="1" si="6"/>
        <v>15</v>
      </c>
      <c r="C45" s="5">
        <f t="shared" ca="1" si="5"/>
        <v>0.52424722496645104</v>
      </c>
      <c r="D45" s="5">
        <f t="shared" ca="1" si="7"/>
        <v>0.58458985705947353</v>
      </c>
    </row>
    <row r="46" spans="2:14" x14ac:dyDescent="0.25">
      <c r="B46" s="5">
        <f t="shared" ca="1" si="6"/>
        <v>17</v>
      </c>
      <c r="C46" s="5">
        <f t="shared" ca="1" si="5"/>
        <v>0.59933991488850824</v>
      </c>
      <c r="D46" s="5">
        <f t="shared" ca="1" si="7"/>
        <v>0.91014679640886487</v>
      </c>
      <c r="E46" s="16"/>
      <c r="F46" s="16"/>
      <c r="G46" s="16"/>
      <c r="H46" s="16"/>
      <c r="I46" s="16"/>
    </row>
    <row r="47" spans="2:14" x14ac:dyDescent="0.25">
      <c r="B47" s="5">
        <f t="shared" ca="1" si="6"/>
        <v>4</v>
      </c>
      <c r="C47" s="5">
        <f t="shared" ca="1" si="5"/>
        <v>-1.3107245180253502</v>
      </c>
      <c r="D47" s="5">
        <f t="shared" ca="1" si="7"/>
        <v>-0.91014679640886487</v>
      </c>
      <c r="E47" s="16"/>
      <c r="F47" s="16"/>
      <c r="G47" s="16"/>
      <c r="H47" s="16"/>
      <c r="I47" s="16"/>
      <c r="J47" s="16"/>
    </row>
    <row r="48" spans="2:14" x14ac:dyDescent="0.25">
      <c r="B48" s="16"/>
      <c r="C48" s="16"/>
      <c r="D48" s="16"/>
      <c r="E48" s="16"/>
      <c r="F48" s="16"/>
      <c r="G48" s="16"/>
      <c r="H48" s="16"/>
      <c r="I48" s="16"/>
      <c r="J48" s="16"/>
    </row>
    <row r="49" spans="2:10" x14ac:dyDescent="0.25">
      <c r="B49" s="16"/>
      <c r="C49" s="16"/>
      <c r="D49" s="16"/>
      <c r="E49" s="16"/>
      <c r="F49" s="16"/>
      <c r="G49" s="16"/>
      <c r="H49" s="16"/>
      <c r="I49" s="16"/>
      <c r="J49" s="16"/>
    </row>
    <row r="50" spans="2:10" x14ac:dyDescent="0.25">
      <c r="B50" s="16"/>
      <c r="C50" s="16"/>
      <c r="D50" s="16"/>
      <c r="E50" s="16"/>
      <c r="F50" s="16"/>
      <c r="G50" s="16"/>
      <c r="H50" s="16"/>
      <c r="I50" s="16"/>
      <c r="J50" s="16"/>
    </row>
    <row r="51" spans="2:10" x14ac:dyDescent="0.25">
      <c r="B51" s="16"/>
      <c r="C51" s="16"/>
      <c r="D51" s="16"/>
      <c r="E51" s="16"/>
      <c r="F51" s="16"/>
      <c r="G51" s="16"/>
      <c r="H51" s="16"/>
      <c r="I51" s="16"/>
      <c r="J51" s="16"/>
    </row>
    <row r="52" spans="2:10" x14ac:dyDescent="0.25">
      <c r="B52" s="16"/>
      <c r="C52" s="16"/>
      <c r="D52" s="16"/>
      <c r="E52" s="16"/>
      <c r="F52" s="16"/>
      <c r="G52" s="16"/>
      <c r="H52" s="16"/>
      <c r="I52" s="16"/>
      <c r="J52" s="16"/>
    </row>
    <row r="53" spans="2:10" x14ac:dyDescent="0.25">
      <c r="B53" s="16"/>
      <c r="C53" s="16"/>
      <c r="D53" s="16"/>
      <c r="E53" s="16"/>
      <c r="F53" s="16"/>
      <c r="G53" s="16"/>
      <c r="H53" s="16"/>
      <c r="I53" s="16"/>
      <c r="J53" s="16"/>
    </row>
    <row r="54" spans="2:10" x14ac:dyDescent="0.25">
      <c r="B54" s="16"/>
      <c r="C54" s="16"/>
      <c r="D54" s="16"/>
      <c r="E54" s="16"/>
      <c r="F54" s="16"/>
      <c r="G54" s="16"/>
      <c r="H54" s="16"/>
      <c r="I54" s="16"/>
      <c r="J54" s="16"/>
    </row>
    <row r="55" spans="2:10" x14ac:dyDescent="0.25">
      <c r="B55" s="16"/>
      <c r="C55" s="16"/>
      <c r="D55" s="16"/>
      <c r="E55" s="16"/>
      <c r="F55" s="16"/>
      <c r="G55" s="16"/>
      <c r="H55" s="16"/>
      <c r="I55" s="16"/>
      <c r="J55" s="16"/>
    </row>
    <row r="56" spans="2:10" x14ac:dyDescent="0.25">
      <c r="B56" s="16"/>
      <c r="C56" s="16"/>
      <c r="D56" s="16"/>
      <c r="E56" s="16"/>
      <c r="F56" s="16"/>
      <c r="G56" s="16"/>
      <c r="H56" s="16"/>
      <c r="I56" s="16"/>
      <c r="J56" s="16"/>
    </row>
    <row r="57" spans="2:10" x14ac:dyDescent="0.25">
      <c r="B57" s="16"/>
      <c r="C57" s="16"/>
      <c r="D57" s="16"/>
      <c r="E57" s="16"/>
      <c r="F57" s="16"/>
      <c r="G57" s="16"/>
      <c r="H57" s="16"/>
      <c r="I57" s="16"/>
      <c r="J57" s="16"/>
    </row>
    <row r="58" spans="2:10" x14ac:dyDescent="0.25">
      <c r="B58" s="16"/>
      <c r="C58" s="16"/>
      <c r="D58" s="16"/>
      <c r="E58" s="16"/>
      <c r="F58" s="16"/>
      <c r="G58" s="16"/>
      <c r="H58" s="16"/>
      <c r="I58" s="16"/>
      <c r="J58" s="16"/>
    </row>
    <row r="59" spans="2:10" x14ac:dyDescent="0.25">
      <c r="B59" s="16"/>
      <c r="C59" s="16"/>
      <c r="D59" s="16"/>
      <c r="E59" s="16"/>
      <c r="F59" s="16"/>
      <c r="G59" s="16"/>
      <c r="H59" s="16"/>
      <c r="I59" s="16"/>
      <c r="J59" s="16"/>
    </row>
    <row r="60" spans="2:10" x14ac:dyDescent="0.25">
      <c r="B60" s="16"/>
      <c r="C60" s="16"/>
      <c r="D60" s="16"/>
      <c r="E60" s="16"/>
      <c r="F60" s="16"/>
      <c r="G60" s="16"/>
      <c r="H60" s="16"/>
      <c r="I60" s="16"/>
      <c r="J60" s="16"/>
    </row>
    <row r="61" spans="2:10" x14ac:dyDescent="0.25">
      <c r="B61" s="16"/>
      <c r="C61" s="16"/>
      <c r="D61" s="16"/>
      <c r="E61" s="16"/>
      <c r="F61" s="16"/>
      <c r="G61" s="16"/>
      <c r="H61" s="16"/>
      <c r="I61" s="16"/>
      <c r="J61" s="16"/>
    </row>
    <row r="62" spans="2:10" x14ac:dyDescent="0.25">
      <c r="B62" s="16"/>
      <c r="C62" s="16"/>
      <c r="D62" s="16"/>
      <c r="E62" s="16"/>
      <c r="F62" s="16"/>
      <c r="G62" s="16"/>
      <c r="H62" s="16"/>
      <c r="I62" s="16"/>
      <c r="J62" s="16"/>
    </row>
    <row r="63" spans="2:10" x14ac:dyDescent="0.25">
      <c r="B63" s="16"/>
      <c r="C63" s="16"/>
      <c r="D63" s="16"/>
      <c r="E63" s="16"/>
      <c r="F63" s="16"/>
      <c r="G63" s="16"/>
      <c r="H63" s="16"/>
      <c r="I63" s="16"/>
      <c r="J63" s="16"/>
    </row>
    <row r="64" spans="2:10" x14ac:dyDescent="0.25">
      <c r="B64" s="16"/>
      <c r="C64" s="16"/>
      <c r="D64" s="16"/>
      <c r="E64" s="16"/>
      <c r="F64" s="16"/>
      <c r="G64" s="16"/>
      <c r="H64" s="16"/>
      <c r="I64" s="16"/>
      <c r="J64" s="16"/>
    </row>
    <row r="65" spans="2:10" x14ac:dyDescent="0.25">
      <c r="B65" s="16"/>
      <c r="C65" s="16"/>
      <c r="D65" s="16"/>
      <c r="E65" s="16"/>
      <c r="F65" s="16"/>
      <c r="G65" s="16"/>
      <c r="H65" s="16"/>
      <c r="I65" s="16"/>
      <c r="J65" s="16"/>
    </row>
    <row r="66" spans="2:10" x14ac:dyDescent="0.25">
      <c r="B66" s="16"/>
      <c r="C66" s="16"/>
      <c r="D66" s="16"/>
      <c r="E66" s="16"/>
      <c r="F66" s="16"/>
      <c r="G66" s="16"/>
      <c r="H66" s="16"/>
      <c r="I66" s="16"/>
      <c r="J66" s="16"/>
    </row>
    <row r="67" spans="2:10" x14ac:dyDescent="0.25">
      <c r="B67" s="16"/>
      <c r="C67" s="16"/>
      <c r="D67" s="16"/>
      <c r="E67" s="16"/>
      <c r="F67" s="16"/>
      <c r="G67" s="16"/>
      <c r="H67" s="16"/>
      <c r="I67" s="16"/>
      <c r="J67" s="16"/>
    </row>
    <row r="68" spans="2:10" x14ac:dyDescent="0.25">
      <c r="B68" s="16"/>
      <c r="C68" s="16"/>
      <c r="D68" s="16"/>
      <c r="E68" s="16"/>
      <c r="F68" s="16"/>
      <c r="G68" s="16"/>
      <c r="H68" s="16"/>
      <c r="I68" s="16"/>
      <c r="J68" s="16"/>
    </row>
    <row r="69" spans="2:10" x14ac:dyDescent="0.25">
      <c r="B69" s="16"/>
      <c r="C69" s="16"/>
      <c r="D69" s="16"/>
      <c r="E69" s="16"/>
      <c r="F69" s="16"/>
      <c r="G69" s="16"/>
      <c r="H69" s="16"/>
      <c r="I69" s="16"/>
      <c r="J69" s="16"/>
    </row>
    <row r="70" spans="2:10" x14ac:dyDescent="0.25">
      <c r="B70" s="16"/>
      <c r="C70" s="16"/>
      <c r="D70" s="16"/>
      <c r="E70" s="16"/>
      <c r="F70" s="16"/>
      <c r="G70" s="16"/>
      <c r="H70" s="16"/>
      <c r="I70" s="16"/>
      <c r="J70" s="16"/>
    </row>
    <row r="71" spans="2:10" x14ac:dyDescent="0.25">
      <c r="B71" s="16"/>
      <c r="C71" s="16"/>
      <c r="D71" s="16"/>
      <c r="E71" s="16"/>
      <c r="F71" s="16"/>
      <c r="G71" s="16"/>
      <c r="H71" s="16"/>
      <c r="I71" s="16"/>
      <c r="J71" s="16"/>
    </row>
    <row r="72" spans="2:10" x14ac:dyDescent="0.25">
      <c r="B72" s="16"/>
      <c r="C72" s="16"/>
      <c r="D72" s="16"/>
      <c r="E72" s="16"/>
      <c r="F72" s="16"/>
      <c r="G72" s="16"/>
      <c r="H72" s="16"/>
      <c r="I72" s="16"/>
      <c r="J72" s="16"/>
    </row>
    <row r="73" spans="2:10" x14ac:dyDescent="0.25">
      <c r="B73" s="16"/>
      <c r="C73" s="16"/>
      <c r="D73" s="16"/>
      <c r="E73" s="16"/>
      <c r="F73" s="16"/>
      <c r="G73" s="16"/>
      <c r="H73" s="16"/>
      <c r="I73" s="16"/>
      <c r="J73" s="16"/>
    </row>
    <row r="74" spans="2:10" x14ac:dyDescent="0.25">
      <c r="B74" s="16"/>
      <c r="C74" s="16"/>
      <c r="D74" s="16"/>
      <c r="E74" s="16"/>
      <c r="F74" s="16"/>
      <c r="G74" s="16"/>
      <c r="H74" s="16"/>
      <c r="I74" s="16"/>
      <c r="J74" s="16"/>
    </row>
    <row r="75" spans="2:10" x14ac:dyDescent="0.25">
      <c r="B75" s="16"/>
      <c r="C75" s="16"/>
      <c r="D75" s="16"/>
      <c r="E75" s="16"/>
      <c r="F75" s="16"/>
      <c r="G75" s="16"/>
      <c r="H75" s="16"/>
      <c r="I75" s="16"/>
      <c r="J75" s="16"/>
    </row>
    <row r="76" spans="2:10" x14ac:dyDescent="0.25">
      <c r="B76" s="16"/>
      <c r="C76" s="16"/>
      <c r="D76" s="16"/>
      <c r="E76" s="16"/>
      <c r="F76" s="16"/>
      <c r="G76" s="16"/>
      <c r="H76" s="16"/>
      <c r="I76" s="16"/>
      <c r="J76" s="16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K39"/>
  <sheetViews>
    <sheetView tabSelected="1" workbookViewId="0">
      <selection activeCell="I4" sqref="I4"/>
    </sheetView>
  </sheetViews>
  <sheetFormatPr defaultRowHeight="15" x14ac:dyDescent="0.25"/>
  <cols>
    <col min="1" max="1" width="2.85546875" style="5" customWidth="1"/>
    <col min="2" max="3" width="9.140625" style="5"/>
    <col min="4" max="5" width="9.140625" style="5" customWidth="1"/>
    <col min="6" max="7" width="9.140625" style="5"/>
    <col min="8" max="8" width="10.140625" style="5" customWidth="1"/>
    <col min="9" max="10" width="9.140625" style="5" customWidth="1"/>
    <col min="11" max="13" width="9.140625" style="5"/>
    <col min="14" max="15" width="9.140625" style="5" customWidth="1"/>
    <col min="16" max="16384" width="9.140625" style="5"/>
  </cols>
  <sheetData>
    <row r="1" spans="2:11" ht="15.75" x14ac:dyDescent="0.25">
      <c r="B1" s="4" t="s">
        <v>102</v>
      </c>
    </row>
    <row r="2" spans="2:11" x14ac:dyDescent="0.25">
      <c r="B2" s="5" t="s">
        <v>54</v>
      </c>
    </row>
    <row r="7" spans="2:11" x14ac:dyDescent="0.25">
      <c r="D7" s="18" t="s">
        <v>1</v>
      </c>
      <c r="E7" s="18" t="s">
        <v>6</v>
      </c>
      <c r="F7" s="18" t="s">
        <v>0</v>
      </c>
      <c r="H7" s="18" t="s">
        <v>55</v>
      </c>
      <c r="J7" s="18" t="s">
        <v>56</v>
      </c>
      <c r="K7" s="32">
        <v>2000</v>
      </c>
    </row>
    <row r="8" spans="2:11" x14ac:dyDescent="0.25">
      <c r="B8" s="18" t="s">
        <v>57</v>
      </c>
      <c r="C8" s="31">
        <v>1.4</v>
      </c>
      <c r="D8" s="32">
        <v>1.1177122329092799</v>
      </c>
      <c r="E8" s="32">
        <v>1.2603439214154735</v>
      </c>
      <c r="F8" s="32">
        <v>1.4136642090902636</v>
      </c>
      <c r="H8" s="32">
        <v>1.4136642090902636</v>
      </c>
      <c r="J8" s="18" t="s">
        <v>58</v>
      </c>
      <c r="K8" s="32">
        <f>1-EXP( -((K7/$C$9)^$C$8))</f>
        <v>0.6721913917094291</v>
      </c>
    </row>
    <row r="9" spans="2:11" x14ac:dyDescent="0.25">
      <c r="B9" s="18" t="s">
        <v>59</v>
      </c>
      <c r="C9" s="31">
        <v>1850</v>
      </c>
      <c r="D9" s="32">
        <v>1464.7121273948085</v>
      </c>
      <c r="E9" s="32">
        <v>1642.7088580773473</v>
      </c>
      <c r="F9" s="32">
        <v>1852.9510241838459</v>
      </c>
      <c r="H9" s="32">
        <v>1464.7121273948085</v>
      </c>
      <c r="K9" s="5">
        <v>0.72199999999999998</v>
      </c>
    </row>
    <row r="10" spans="2:11" x14ac:dyDescent="0.25">
      <c r="B10" s="18" t="s">
        <v>24</v>
      </c>
      <c r="C10" s="20">
        <v>300</v>
      </c>
    </row>
    <row r="12" spans="2:11" x14ac:dyDescent="0.25">
      <c r="G12" s="42" t="s">
        <v>60</v>
      </c>
      <c r="H12" s="42"/>
      <c r="I12" s="42" t="s">
        <v>61</v>
      </c>
      <c r="J12" s="42"/>
    </row>
    <row r="13" spans="2:11" x14ac:dyDescent="0.25">
      <c r="B13" s="23" t="s">
        <v>62</v>
      </c>
      <c r="C13" s="33" t="s">
        <v>23</v>
      </c>
      <c r="D13" s="23" t="s">
        <v>63</v>
      </c>
      <c r="E13" s="23" t="s">
        <v>64</v>
      </c>
      <c r="F13" s="23" t="s">
        <v>65</v>
      </c>
      <c r="G13" s="33" t="s">
        <v>3</v>
      </c>
      <c r="H13" s="33" t="s">
        <v>66</v>
      </c>
      <c r="I13" s="23" t="s">
        <v>67</v>
      </c>
      <c r="J13" s="23" t="s">
        <v>68</v>
      </c>
    </row>
    <row r="14" spans="2:11" x14ac:dyDescent="0.25">
      <c r="B14" s="5">
        <v>0</v>
      </c>
      <c r="C14" s="26"/>
      <c r="D14" s="5">
        <v>0</v>
      </c>
    </row>
    <row r="15" spans="2:11" x14ac:dyDescent="0.25">
      <c r="B15" s="5">
        <v>1</v>
      </c>
      <c r="C15" s="20">
        <v>0</v>
      </c>
      <c r="D15" s="5">
        <f t="shared" ref="D15:D20" si="0">1-EXP( -((B15/$C$9)^$C$8))</f>
        <v>2.6665749179421994E-5</v>
      </c>
      <c r="E15" s="5">
        <f t="shared" ref="E15:E20" si="1">C15*LN(D15-D14)</f>
        <v>0</v>
      </c>
      <c r="F15" s="5">
        <f>SUM(C$15:C15)/$C$10</f>
        <v>0</v>
      </c>
      <c r="G15" s="5" t="e">
        <f t="shared" ref="G15:G20" si="2">LN(-LN(1-F15))</f>
        <v>#NUM!</v>
      </c>
      <c r="H15" s="5">
        <f t="shared" ref="H15:H20" si="3">LN(-LN(1-D15))</f>
        <v>-10.532117285299339</v>
      </c>
    </row>
    <row r="16" spans="2:11" x14ac:dyDescent="0.25">
      <c r="B16" s="5">
        <v>6</v>
      </c>
      <c r="C16" s="20">
        <v>0</v>
      </c>
      <c r="D16" s="5">
        <f t="shared" si="0"/>
        <v>3.2756703583625146E-4</v>
      </c>
      <c r="E16" s="5">
        <f t="shared" si="1"/>
        <v>0</v>
      </c>
      <c r="F16" s="5">
        <f>SUM(C$15:C16)/$C$10</f>
        <v>0</v>
      </c>
      <c r="G16" s="5" t="e">
        <f t="shared" si="2"/>
        <v>#NUM!</v>
      </c>
      <c r="H16" s="5">
        <f t="shared" si="3"/>
        <v>-8.0236540283821665</v>
      </c>
    </row>
    <row r="17" spans="2:11" x14ac:dyDescent="0.25">
      <c r="B17" s="5">
        <v>48</v>
      </c>
      <c r="C17" s="20">
        <v>2</v>
      </c>
      <c r="D17" s="5">
        <f t="shared" si="0"/>
        <v>6.0033054196876323E-3</v>
      </c>
      <c r="E17" s="5">
        <f t="shared" si="1"/>
        <v>-10.34310922477318</v>
      </c>
      <c r="F17" s="5">
        <f>SUM(C$15:C17)/$C$10</f>
        <v>6.6666666666666671E-3</v>
      </c>
      <c r="G17" s="5">
        <f t="shared" si="2"/>
        <v>-5.0072926642935922</v>
      </c>
      <c r="H17" s="5">
        <f t="shared" si="3"/>
        <v>-5.1124358700302803</v>
      </c>
      <c r="I17" s="5">
        <f>(D17-D14)*$C$10</f>
        <v>1.8009916259062897</v>
      </c>
      <c r="J17" s="5">
        <f>(SUM(C15:C17)-I17)^2 / I17</f>
        <v>2.1990292675288022E-2</v>
      </c>
    </row>
    <row r="18" spans="2:11" x14ac:dyDescent="0.25">
      <c r="B18" s="5">
        <v>168</v>
      </c>
      <c r="C18" s="20">
        <v>16</v>
      </c>
      <c r="D18" s="5">
        <f t="shared" si="0"/>
        <v>3.4187000117121391E-2</v>
      </c>
      <c r="E18" s="5">
        <f t="shared" si="1"/>
        <v>-57.10418672768153</v>
      </c>
      <c r="F18" s="5">
        <f>SUM(C$15:C18)/$C$10</f>
        <v>0.06</v>
      </c>
      <c r="G18" s="5">
        <f t="shared" si="2"/>
        <v>-2.7826325333778006</v>
      </c>
      <c r="H18" s="5">
        <f t="shared" si="3"/>
        <v>-3.3585677141367554</v>
      </c>
      <c r="I18" s="5">
        <f>(D18-D17)*$C$10</f>
        <v>8.4551084092301281</v>
      </c>
      <c r="J18" s="5">
        <f>(C18-I18)^2 / I18</f>
        <v>6.7326622393542106</v>
      </c>
    </row>
    <row r="19" spans="2:11" x14ac:dyDescent="0.25">
      <c r="B19" s="5">
        <v>500</v>
      </c>
      <c r="C19" s="20">
        <v>43</v>
      </c>
      <c r="D19" s="5">
        <f t="shared" si="0"/>
        <v>0.14798108327647463</v>
      </c>
      <c r="E19" s="5">
        <f t="shared" si="1"/>
        <v>-93.454684334662986</v>
      </c>
      <c r="F19" s="5">
        <f>SUM(C$15:C19)/$C$10</f>
        <v>0.20333333333333334</v>
      </c>
      <c r="G19" s="5">
        <f t="shared" si="2"/>
        <v>-1.4814013015900904</v>
      </c>
      <c r="H19" s="5">
        <f t="shared" si="3"/>
        <v>-1.8316659475102499</v>
      </c>
      <c r="I19" s="5">
        <f>(D19-D18)*$C$10</f>
        <v>34.138224947805973</v>
      </c>
      <c r="J19" s="5">
        <f>(C19-I19)^2 / I19</f>
        <v>2.3003848968642862</v>
      </c>
    </row>
    <row r="20" spans="2:11" x14ac:dyDescent="0.25">
      <c r="B20" s="5">
        <v>1000</v>
      </c>
      <c r="C20" s="20">
        <v>63</v>
      </c>
      <c r="D20" s="5">
        <f t="shared" si="0"/>
        <v>0.34467847003618368</v>
      </c>
      <c r="E20" s="5">
        <f t="shared" si="1"/>
        <v>-102.44359686242477</v>
      </c>
      <c r="F20" s="5">
        <f>SUM(C$15:C20)/$C$10</f>
        <v>0.41333333333333333</v>
      </c>
      <c r="G20" s="5">
        <f t="shared" si="2"/>
        <v>-0.62867401227398279</v>
      </c>
      <c r="H20" s="5">
        <f t="shared" si="3"/>
        <v>-0.8612598947263268</v>
      </c>
      <c r="I20" s="5">
        <f>(D20-D19)*$C$10</f>
        <v>59.009216027912714</v>
      </c>
      <c r="J20" s="5">
        <f>(C20-I20)^2 / I20</f>
        <v>0.26989609054177643</v>
      </c>
    </row>
    <row r="22" spans="2:11" x14ac:dyDescent="0.25">
      <c r="B22" s="5" t="s">
        <v>69</v>
      </c>
      <c r="C22" s="26">
        <f>$C$10-SUM(C15:C20)</f>
        <v>176</v>
      </c>
      <c r="D22" s="5">
        <f>1-D20</f>
        <v>0.65532152996381632</v>
      </c>
      <c r="E22" s="5">
        <f>C22*LN(D22)</f>
        <v>-74.382752989738592</v>
      </c>
      <c r="F22" s="5">
        <f>1-F20</f>
        <v>0.58666666666666667</v>
      </c>
      <c r="I22" s="5">
        <f>D22*$C$10</f>
        <v>196.59645898914491</v>
      </c>
      <c r="J22" s="5">
        <f>(C22-I22)^2 / I22</f>
        <v>2.157791269856753</v>
      </c>
    </row>
    <row r="24" spans="2:11" x14ac:dyDescent="0.25">
      <c r="B24" s="27"/>
      <c r="C24" s="27"/>
      <c r="D24" s="34" t="s">
        <v>70</v>
      </c>
      <c r="E24" s="3">
        <f>SUM(E15:E22)</f>
        <v>-337.72833013928107</v>
      </c>
      <c r="I24" s="21" t="s">
        <v>8</v>
      </c>
      <c r="J24" s="32">
        <f>SUM(J17:J22)</f>
        <v>11.482724789292314</v>
      </c>
    </row>
    <row r="25" spans="2:11" x14ac:dyDescent="0.25">
      <c r="B25" s="27"/>
      <c r="C25" s="27"/>
      <c r="D25" s="21" t="s">
        <v>71</v>
      </c>
      <c r="E25" s="32">
        <v>-333.49221056330026</v>
      </c>
      <c r="I25" s="21" t="s">
        <v>7</v>
      </c>
      <c r="J25" s="32">
        <f>5-1-2</f>
        <v>2</v>
      </c>
    </row>
    <row r="26" spans="2:11" x14ac:dyDescent="0.25">
      <c r="B26" s="27"/>
      <c r="C26" s="27"/>
      <c r="D26" s="21" t="s">
        <v>72</v>
      </c>
      <c r="E26" s="3">
        <f>CHIDIST(2*(E25-E24), 1)</f>
        <v>3.6060726758300595E-3</v>
      </c>
      <c r="I26" s="21" t="s">
        <v>9</v>
      </c>
      <c r="J26" s="36">
        <f>CHIDIST(J24,J25)</f>
        <v>3.2103914743620327E-3</v>
      </c>
      <c r="K26" s="35" t="str">
        <f>IF(J26&gt;5%, "pass", "FAIL")</f>
        <v>FAIL</v>
      </c>
    </row>
    <row r="27" spans="2:11" x14ac:dyDescent="0.25">
      <c r="B27" s="27"/>
      <c r="C27" s="27"/>
      <c r="D27" s="26"/>
      <c r="E27" s="27"/>
    </row>
    <row r="28" spans="2:11" x14ac:dyDescent="0.25">
      <c r="B28" s="28"/>
      <c r="C28" s="27"/>
    </row>
    <row r="29" spans="2:11" x14ac:dyDescent="0.25">
      <c r="B29" s="28"/>
      <c r="C29" s="27"/>
    </row>
    <row r="30" spans="2:11" x14ac:dyDescent="0.25">
      <c r="B30" s="28"/>
      <c r="C30" s="27"/>
      <c r="D30" s="27"/>
      <c r="E30" s="27"/>
    </row>
    <row r="31" spans="2:11" x14ac:dyDescent="0.25">
      <c r="B31" s="27"/>
      <c r="C31" s="27"/>
      <c r="D31" s="27"/>
      <c r="E31" s="27"/>
    </row>
    <row r="32" spans="2:11" x14ac:dyDescent="0.25">
      <c r="B32" s="27"/>
      <c r="C32" s="1">
        <v>1.1499999999999999</v>
      </c>
      <c r="D32" s="1">
        <v>1.2</v>
      </c>
      <c r="E32" s="1">
        <v>1.25</v>
      </c>
      <c r="F32" s="1">
        <v>1.3</v>
      </c>
      <c r="G32" s="1">
        <v>1.35</v>
      </c>
      <c r="H32" s="1">
        <v>1.4</v>
      </c>
    </row>
    <row r="33" spans="2:8" x14ac:dyDescent="0.25">
      <c r="B33" s="1">
        <v>1450</v>
      </c>
      <c r="C33" s="27">
        <v>-336.92004912117562</v>
      </c>
      <c r="D33" s="27">
        <v>-335.90802355294039</v>
      </c>
      <c r="E33" s="27">
        <v>-335.20842433635272</v>
      </c>
      <c r="F33" s="5">
        <v>-334.79806027282507</v>
      </c>
      <c r="G33" s="5">
        <v>-334.65617612289776</v>
      </c>
      <c r="H33" s="5">
        <v>-334.764121192066</v>
      </c>
    </row>
    <row r="34" spans="2:8" x14ac:dyDescent="0.25">
      <c r="B34" s="1">
        <v>1550</v>
      </c>
      <c r="C34" s="27">
        <v>-335.15135911249502</v>
      </c>
      <c r="D34" s="27">
        <v>-334.35713399814563</v>
      </c>
      <c r="E34" s="27">
        <v>-333.88933304338559</v>
      </c>
      <c r="F34" s="5">
        <v>-333.72409169098273</v>
      </c>
      <c r="G34" s="5">
        <v>-333.84002367844062</v>
      </c>
      <c r="H34" s="5">
        <v>-334.2178856807501</v>
      </c>
    </row>
    <row r="35" spans="2:8" x14ac:dyDescent="0.25">
      <c r="B35" s="1">
        <v>1650</v>
      </c>
      <c r="C35" s="27">
        <v>-334.24698104088384</v>
      </c>
      <c r="D35" s="27">
        <v>-333.70200557856361</v>
      </c>
      <c r="E35" s="27">
        <v>-333.49655190066221</v>
      </c>
      <c r="F35" s="5">
        <v>-333.60605424389576</v>
      </c>
      <c r="G35" s="5">
        <v>-334.00846970909259</v>
      </c>
      <c r="H35" s="5">
        <v>-334.68393887389027</v>
      </c>
    </row>
    <row r="36" spans="2:8" x14ac:dyDescent="0.25">
      <c r="B36" s="1">
        <v>1750</v>
      </c>
      <c r="C36" s="27">
        <v>-334.01613578397757</v>
      </c>
      <c r="D36" s="27">
        <v>-333.74080350370042</v>
      </c>
      <c r="E36" s="27">
        <v>-333.81707674259366</v>
      </c>
      <c r="F36" s="5">
        <v>-334.21967385948824</v>
      </c>
      <c r="G36" s="5">
        <v>-334.92588268193663</v>
      </c>
      <c r="H36" s="5">
        <v>-335.9152169905804</v>
      </c>
    </row>
    <row r="37" spans="2:8" x14ac:dyDescent="0.25">
      <c r="B37" s="1">
        <v>1850</v>
      </c>
      <c r="C37" s="29">
        <v>-334.31447596260517</v>
      </c>
      <c r="D37" s="29">
        <v>-334.32139925442902</v>
      </c>
      <c r="E37" s="29">
        <v>-334.69097368760089</v>
      </c>
      <c r="F37" s="5">
        <v>-335.39719774916421</v>
      </c>
      <c r="G37" s="5">
        <v>-336.41668776248741</v>
      </c>
      <c r="H37" s="5">
        <v>-337.72833013928107</v>
      </c>
    </row>
    <row r="38" spans="2:8" x14ac:dyDescent="0.25">
      <c r="B38" s="27"/>
      <c r="C38" s="29"/>
      <c r="D38" s="29"/>
      <c r="E38" s="29"/>
    </row>
    <row r="39" spans="2:8" x14ac:dyDescent="0.25">
      <c r="B39" s="27"/>
      <c r="C39" s="29"/>
      <c r="D39" s="29"/>
      <c r="E39" s="29"/>
    </row>
  </sheetData>
  <mergeCells count="2">
    <mergeCell ref="G12:H12"/>
    <mergeCell ref="I12:J12"/>
  </mergeCells>
  <conditionalFormatting sqref="K26">
    <cfRule type="containsText" dxfId="1" priority="3" operator="containsText" text="pass">
      <formula>NOT(ISERROR(SEARCH("pass",K26)))</formula>
    </cfRule>
    <cfRule type="containsText" dxfId="0" priority="4" operator="containsText" text="FAIL">
      <formula>NOT(ISERROR(SEARCH("FAIL",K26)))</formula>
    </cfRule>
  </conditionalFormatting>
  <conditionalFormatting sqref="C33:G37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33:H37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1:AD37"/>
  <sheetViews>
    <sheetView workbookViewId="0">
      <selection activeCell="E19" sqref="E19"/>
    </sheetView>
  </sheetViews>
  <sheetFormatPr defaultRowHeight="15" x14ac:dyDescent="0.25"/>
  <cols>
    <col min="1" max="1" width="2.85546875" style="5" customWidth="1"/>
    <col min="2" max="5" width="9.140625" style="5"/>
    <col min="6" max="7" width="9.140625" style="5" customWidth="1"/>
    <col min="8" max="10" width="9.140625" style="5"/>
    <col min="11" max="12" width="9.140625" style="5" customWidth="1"/>
    <col min="13" max="13" width="2.85546875" style="5" customWidth="1"/>
    <col min="14" max="18" width="9.140625" style="5" customWidth="1"/>
    <col min="19" max="19" width="2.85546875" style="5" customWidth="1"/>
    <col min="20" max="20" width="9.140625" style="5"/>
    <col min="21" max="21" width="11" style="5" customWidth="1"/>
    <col min="22" max="22" width="11.140625" style="5" customWidth="1"/>
    <col min="23" max="24" width="9.140625" style="5" customWidth="1"/>
    <col min="25" max="30" width="7.28515625" style="5" customWidth="1"/>
    <col min="31" max="16384" width="9.140625" style="5"/>
  </cols>
  <sheetData>
    <row r="1" spans="2:24" ht="15.75" x14ac:dyDescent="0.25">
      <c r="B1" s="4" t="s">
        <v>103</v>
      </c>
    </row>
    <row r="2" spans="2:24" x14ac:dyDescent="0.25">
      <c r="B2" s="6" t="s">
        <v>73</v>
      </c>
    </row>
    <row r="3" spans="2:24" x14ac:dyDescent="0.25">
      <c r="B3" s="6" t="s">
        <v>74</v>
      </c>
    </row>
    <row r="4" spans="2:24" x14ac:dyDescent="0.25">
      <c r="B4" s="6" t="s">
        <v>75</v>
      </c>
    </row>
    <row r="6" spans="2:24" x14ac:dyDescent="0.25">
      <c r="E6" s="32">
        <v>-278.70055666092134</v>
      </c>
    </row>
    <row r="7" spans="2:24" x14ac:dyDescent="0.25">
      <c r="D7" s="18" t="s">
        <v>1</v>
      </c>
      <c r="E7" s="18" t="s">
        <v>6</v>
      </c>
      <c r="F7" s="18" t="s">
        <v>0</v>
      </c>
      <c r="H7" s="18" t="s">
        <v>56</v>
      </c>
      <c r="I7" s="2">
        <v>8760</v>
      </c>
    </row>
    <row r="8" spans="2:24" x14ac:dyDescent="0.25">
      <c r="B8" s="1" t="s">
        <v>76</v>
      </c>
      <c r="C8" s="37">
        <f>D8</f>
        <v>39.571568583086645</v>
      </c>
      <c r="D8" s="32">
        <v>39.571568583086645</v>
      </c>
      <c r="E8" s="32">
        <v>41.153014533513186</v>
      </c>
      <c r="F8" s="32">
        <v>42.810811612080478</v>
      </c>
      <c r="H8" s="1" t="s">
        <v>77</v>
      </c>
      <c r="I8" s="2">
        <v>75</v>
      </c>
    </row>
    <row r="9" spans="2:24" x14ac:dyDescent="0.25">
      <c r="B9" s="1" t="s">
        <v>78</v>
      </c>
      <c r="C9" s="37">
        <f>D9</f>
        <v>14.842079522146372</v>
      </c>
      <c r="D9" s="32">
        <v>14.842079522146372</v>
      </c>
      <c r="E9" s="32">
        <v>15.596891872824342</v>
      </c>
      <c r="F9" s="32">
        <v>16.394381798779065</v>
      </c>
      <c r="H9" s="1" t="s">
        <v>79</v>
      </c>
      <c r="I9" s="32">
        <f>I7 * EXP($C$10/0.00008617*(1/($C$11+273.15)-1/($I8+273.15)))</f>
        <v>517.06256404556086</v>
      </c>
      <c r="J9" s="6"/>
    </row>
    <row r="10" spans="2:24" x14ac:dyDescent="0.25">
      <c r="B10" s="1" t="s">
        <v>80</v>
      </c>
      <c r="C10" s="37">
        <f>E10</f>
        <v>1.2671257698873377</v>
      </c>
      <c r="D10" s="32">
        <v>0.69554123697107062</v>
      </c>
      <c r="E10" s="32">
        <v>1.2671257698873377</v>
      </c>
      <c r="F10" s="32">
        <v>1.808362685068754</v>
      </c>
      <c r="H10" s="1" t="s">
        <v>58</v>
      </c>
      <c r="I10" s="32">
        <f>NORMDIST(LN(I9), C8, C9, TRUE)</f>
        <v>1.2377717750347112E-2</v>
      </c>
      <c r="N10" s="5" t="s">
        <v>81</v>
      </c>
    </row>
    <row r="11" spans="2:24" x14ac:dyDescent="0.25">
      <c r="B11" s="1" t="s">
        <v>82</v>
      </c>
      <c r="C11" s="2">
        <v>100</v>
      </c>
      <c r="T11" s="43" t="s">
        <v>83</v>
      </c>
      <c r="U11" s="43"/>
      <c r="V11" s="43"/>
    </row>
    <row r="12" spans="2:24" x14ac:dyDescent="0.25">
      <c r="B12" s="1" t="s">
        <v>24</v>
      </c>
      <c r="C12" s="2">
        <v>1000</v>
      </c>
      <c r="E12" s="18" t="s">
        <v>72</v>
      </c>
      <c r="F12" s="3">
        <f>CHIDIST(2*(E6-G15), 1)</f>
        <v>0.75780908414139903</v>
      </c>
      <c r="N12" s="1" t="s">
        <v>76</v>
      </c>
      <c r="O12" s="32">
        <v>41.153014533513186</v>
      </c>
      <c r="U12" s="1" t="s">
        <v>84</v>
      </c>
      <c r="V12" s="1" t="s">
        <v>85</v>
      </c>
      <c r="W12" s="1" t="s">
        <v>76</v>
      </c>
      <c r="X12" s="1" t="s">
        <v>78</v>
      </c>
    </row>
    <row r="13" spans="2:24" x14ac:dyDescent="0.25">
      <c r="N13" s="1" t="s">
        <v>78</v>
      </c>
      <c r="O13" s="32">
        <v>15.596891872824342</v>
      </c>
      <c r="T13" s="1" t="s">
        <v>86</v>
      </c>
      <c r="U13" s="32">
        <v>-96.644233352978603</v>
      </c>
      <c r="V13" s="32">
        <v>-96.620775883849518</v>
      </c>
      <c r="W13" s="32">
        <v>43.598910410780192</v>
      </c>
      <c r="X13" s="32">
        <v>16.693108747416296</v>
      </c>
    </row>
    <row r="14" spans="2:24" x14ac:dyDescent="0.25">
      <c r="N14" s="1" t="s">
        <v>80</v>
      </c>
      <c r="O14" s="32">
        <v>1.2671257698873377</v>
      </c>
      <c r="T14" s="1" t="s">
        <v>87</v>
      </c>
      <c r="U14" s="32">
        <v>-182.05632331028428</v>
      </c>
      <c r="V14" s="32">
        <v>-182.04514989252374</v>
      </c>
      <c r="W14" s="32">
        <v>40.206117887239891</v>
      </c>
      <c r="X14" s="32">
        <v>15.109946281968165</v>
      </c>
    </row>
    <row r="15" spans="2:24" x14ac:dyDescent="0.25">
      <c r="G15" s="3">
        <f>SUM(G18:G33)</f>
        <v>-278.74809933465434</v>
      </c>
      <c r="I15" s="42" t="s">
        <v>88</v>
      </c>
      <c r="J15" s="42"/>
      <c r="K15" s="42" t="s">
        <v>61</v>
      </c>
      <c r="L15" s="42"/>
      <c r="T15" s="1" t="s">
        <v>89</v>
      </c>
      <c r="U15" s="32">
        <f>SUM(U13:U14)</f>
        <v>-278.70055666326289</v>
      </c>
      <c r="V15" s="32">
        <f>SUM(V13:V14)</f>
        <v>-278.66592577637323</v>
      </c>
    </row>
    <row r="16" spans="2:24" x14ac:dyDescent="0.25">
      <c r="B16" s="33" t="s">
        <v>90</v>
      </c>
      <c r="C16" s="33" t="s">
        <v>91</v>
      </c>
      <c r="D16" s="33" t="s">
        <v>23</v>
      </c>
      <c r="E16" s="33" t="s">
        <v>92</v>
      </c>
      <c r="F16" s="23" t="s">
        <v>63</v>
      </c>
      <c r="G16" s="23" t="s">
        <v>64</v>
      </c>
      <c r="H16" s="23" t="s">
        <v>65</v>
      </c>
      <c r="I16" s="33" t="s">
        <v>3</v>
      </c>
      <c r="J16" s="33" t="s">
        <v>66</v>
      </c>
      <c r="K16" s="23" t="s">
        <v>67</v>
      </c>
      <c r="L16" s="23" t="s">
        <v>68</v>
      </c>
      <c r="N16" s="1" t="s">
        <v>93</v>
      </c>
      <c r="O16" s="1" t="s">
        <v>94</v>
      </c>
      <c r="P16" s="1" t="s">
        <v>95</v>
      </c>
      <c r="Q16" s="1" t="s">
        <v>96</v>
      </c>
      <c r="R16" s="1" t="s">
        <v>97</v>
      </c>
      <c r="T16" s="23" t="s">
        <v>72</v>
      </c>
      <c r="U16" s="3">
        <f>CHIDIST(2*(V15-U15), 1)</f>
        <v>0.79241468392515335</v>
      </c>
    </row>
    <row r="17" spans="2:30" x14ac:dyDescent="0.25">
      <c r="B17" s="1" t="s">
        <v>98</v>
      </c>
      <c r="C17" s="5">
        <v>0</v>
      </c>
      <c r="E17" s="5">
        <v>0</v>
      </c>
      <c r="F17" s="5">
        <v>0</v>
      </c>
      <c r="O17" s="5">
        <v>0</v>
      </c>
      <c r="P17" s="5">
        <v>0</v>
      </c>
    </row>
    <row r="18" spans="2:30" x14ac:dyDescent="0.25">
      <c r="B18" s="5">
        <v>100</v>
      </c>
      <c r="C18" s="5">
        <v>1</v>
      </c>
      <c r="D18" s="5">
        <v>5</v>
      </c>
      <c r="E18" s="5">
        <f t="shared" ref="E18:E23" si="0">C18 * EXP($C$10/0.00008617*(1/($C$11+273.15)-1/($B18+273.15)))</f>
        <v>1</v>
      </c>
      <c r="F18" s="5">
        <f t="shared" ref="F18:F23" si="1">NORMDIST(LN(E18), $C$8, $C$9, TRUE)</f>
        <v>3.8359970993821777E-3</v>
      </c>
      <c r="G18" s="5">
        <f t="shared" ref="G18:G23" si="2">D18*LN(F18-F17)</f>
        <v>-27.816629390590599</v>
      </c>
      <c r="H18" s="5">
        <f>SUM(D$18:D18)/$C$12</f>
        <v>5.0000000000000001E-3</v>
      </c>
      <c r="I18" s="5">
        <f t="shared" ref="I18:I23" si="3">NORMSINV(H18)</f>
        <v>-2.5758293035488999</v>
      </c>
      <c r="J18" s="5">
        <f t="shared" ref="J18:J23" si="4">NORMSINV(F18)</f>
        <v>-2.6661741384716717</v>
      </c>
      <c r="K18" s="5">
        <f>(F18-F17)*$C$12</f>
        <v>3.8359970993821775</v>
      </c>
      <c r="L18" s="5">
        <f>(D18-K18)^2 / K18</f>
        <v>0.35320744973058604</v>
      </c>
      <c r="N18" s="30">
        <v>5</v>
      </c>
      <c r="O18" s="5">
        <f t="shared" ref="O18:O23" si="5">C18 * EXP($O$14/0.00008617*(1/($C$11+273.15)-1/($B18+273.15)))</f>
        <v>1</v>
      </c>
      <c r="P18" s="5">
        <f t="shared" ref="P18:P23" si="6">NORMDIST(LN(O18), $O$12, $O$13, TRUE)</f>
        <v>4.1632005733488481E-3</v>
      </c>
      <c r="Q18" s="5">
        <f ca="1">SUM(R$18:R18)</f>
        <v>2</v>
      </c>
      <c r="R18" s="5">
        <f t="shared" ref="R18:R23" ca="1" si="7">CRITBINOM($C$12-Q17, P18-P17, RAND())</f>
        <v>2</v>
      </c>
    </row>
    <row r="19" spans="2:30" x14ac:dyDescent="0.25">
      <c r="B19" s="5">
        <v>100</v>
      </c>
      <c r="C19" s="5">
        <v>6</v>
      </c>
      <c r="D19" s="5">
        <v>0</v>
      </c>
      <c r="E19" s="5">
        <f t="shared" si="0"/>
        <v>6</v>
      </c>
      <c r="F19" s="5">
        <f t="shared" si="1"/>
        <v>5.4568098176015463E-3</v>
      </c>
      <c r="G19" s="5">
        <f t="shared" si="2"/>
        <v>0</v>
      </c>
      <c r="H19" s="5">
        <f>SUM(D$18:D19)/$C$12</f>
        <v>5.0000000000000001E-3</v>
      </c>
      <c r="I19" s="5">
        <f t="shared" si="3"/>
        <v>-2.5758293035488999</v>
      </c>
      <c r="J19" s="5">
        <f t="shared" si="4"/>
        <v>-2.5454525464228959</v>
      </c>
      <c r="N19" s="30">
        <v>0</v>
      </c>
      <c r="O19" s="5">
        <f t="shared" si="5"/>
        <v>6</v>
      </c>
      <c r="P19" s="5">
        <f t="shared" si="6"/>
        <v>5.8070066912771978E-3</v>
      </c>
      <c r="Q19" s="5">
        <f ca="1">SUM(R$18:R19)</f>
        <v>3</v>
      </c>
      <c r="R19" s="5">
        <f t="shared" ca="1" si="7"/>
        <v>1</v>
      </c>
      <c r="T19" s="43" t="s">
        <v>99</v>
      </c>
      <c r="U19" s="43"/>
    </row>
    <row r="20" spans="2:30" x14ac:dyDescent="0.25">
      <c r="B20" s="5">
        <v>100</v>
      </c>
      <c r="C20" s="5">
        <v>48</v>
      </c>
      <c r="D20" s="5">
        <v>4</v>
      </c>
      <c r="E20" s="5">
        <f t="shared" si="0"/>
        <v>48</v>
      </c>
      <c r="F20" s="5">
        <f t="shared" si="1"/>
        <v>8.0785339707546717E-3</v>
      </c>
      <c r="G20" s="5">
        <f t="shared" si="2"/>
        <v>-23.775692415688514</v>
      </c>
      <c r="H20" s="5">
        <f>SUM(D$18:D20)/$C$12</f>
        <v>8.9999999999999993E-3</v>
      </c>
      <c r="I20" s="5">
        <f t="shared" si="3"/>
        <v>-2.365618126864292</v>
      </c>
      <c r="J20" s="5">
        <f t="shared" si="4"/>
        <v>-2.4053480860892185</v>
      </c>
      <c r="K20" s="5">
        <f>(F20-F18)*$C$12</f>
        <v>4.2425368713724936</v>
      </c>
      <c r="L20" s="5">
        <f>(SUM(D19:D20)-K20)^2 / K20</f>
        <v>1.3865320622688526E-2</v>
      </c>
      <c r="N20" s="30">
        <v>4</v>
      </c>
      <c r="O20" s="5">
        <f t="shared" si="5"/>
        <v>48</v>
      </c>
      <c r="P20" s="5">
        <f t="shared" si="6"/>
        <v>8.4164804984833454E-3</v>
      </c>
      <c r="Q20" s="5">
        <f ca="1">SUM(R$18:R20)</f>
        <v>12</v>
      </c>
      <c r="R20" s="5">
        <f t="shared" ca="1" si="7"/>
        <v>9</v>
      </c>
      <c r="T20" s="1" t="s">
        <v>100</v>
      </c>
      <c r="U20" s="1">
        <v>1</v>
      </c>
      <c r="V20" s="1">
        <v>2</v>
      </c>
      <c r="W20" s="1">
        <v>3</v>
      </c>
      <c r="X20" s="1">
        <v>4</v>
      </c>
      <c r="Y20" s="1">
        <v>5</v>
      </c>
      <c r="Z20" s="1">
        <v>6</v>
      </c>
      <c r="AA20" s="1">
        <v>7</v>
      </c>
      <c r="AB20" s="1">
        <v>8</v>
      </c>
      <c r="AC20" s="1">
        <v>9</v>
      </c>
      <c r="AD20" s="1">
        <v>10</v>
      </c>
    </row>
    <row r="21" spans="2:30" x14ac:dyDescent="0.25">
      <c r="B21" s="5">
        <v>100</v>
      </c>
      <c r="C21" s="5">
        <v>168</v>
      </c>
      <c r="D21" s="5">
        <v>0</v>
      </c>
      <c r="E21" s="5">
        <f t="shared" si="0"/>
        <v>168</v>
      </c>
      <c r="F21" s="5">
        <f t="shared" si="1"/>
        <v>1.0144989232824891E-2</v>
      </c>
      <c r="G21" s="5">
        <f t="shared" si="2"/>
        <v>0</v>
      </c>
      <c r="H21" s="5">
        <f>SUM(D$18:D21)/$C$12</f>
        <v>8.9999999999999993E-3</v>
      </c>
      <c r="I21" s="5">
        <f t="shared" si="3"/>
        <v>-2.365618126864292</v>
      </c>
      <c r="J21" s="5">
        <f t="shared" si="4"/>
        <v>-2.3209419240937863</v>
      </c>
      <c r="N21" s="30">
        <v>0</v>
      </c>
      <c r="O21" s="5">
        <f t="shared" si="5"/>
        <v>168</v>
      </c>
      <c r="P21" s="5">
        <f t="shared" si="6"/>
        <v>1.0443668279987503E-2</v>
      </c>
      <c r="Q21" s="5">
        <f ca="1">SUM(R$18:R21)</f>
        <v>14</v>
      </c>
      <c r="R21" s="5">
        <f t="shared" ca="1" si="7"/>
        <v>2</v>
      </c>
      <c r="T21" s="1" t="s">
        <v>76</v>
      </c>
      <c r="U21" s="5">
        <v>43.11223725664577</v>
      </c>
      <c r="V21" s="5">
        <v>33.180065721472054</v>
      </c>
      <c r="W21" s="5">
        <v>41.819252401215834</v>
      </c>
      <c r="X21" s="5">
        <v>47.845213176824586</v>
      </c>
      <c r="Y21" s="5">
        <v>33.694210815443164</v>
      </c>
      <c r="Z21" s="5">
        <v>46.795872252182235</v>
      </c>
      <c r="AA21" s="5">
        <v>38.541606203599081</v>
      </c>
      <c r="AB21" s="5">
        <v>36.520757323387798</v>
      </c>
      <c r="AC21" s="5">
        <v>50.108571907425848</v>
      </c>
      <c r="AD21" s="5">
        <v>32.432369649015087</v>
      </c>
    </row>
    <row r="22" spans="2:30" x14ac:dyDescent="0.25">
      <c r="B22" s="5">
        <v>100</v>
      </c>
      <c r="C22" s="5">
        <v>500</v>
      </c>
      <c r="D22" s="5">
        <v>3</v>
      </c>
      <c r="E22" s="5">
        <f t="shared" si="0"/>
        <v>500</v>
      </c>
      <c r="F22" s="5">
        <f t="shared" si="1"/>
        <v>1.2305364155734626E-2</v>
      </c>
      <c r="G22" s="5">
        <f t="shared" si="2"/>
        <v>-18.412420490782083</v>
      </c>
      <c r="H22" s="5">
        <f>SUM(D$18:D22)/$C$12</f>
        <v>1.2E-2</v>
      </c>
      <c r="I22" s="5">
        <f t="shared" si="3"/>
        <v>-2.257129244486225</v>
      </c>
      <c r="J22" s="5">
        <f t="shared" si="4"/>
        <v>-2.2474586822480904</v>
      </c>
      <c r="N22" s="30">
        <v>3</v>
      </c>
      <c r="O22" s="5">
        <f t="shared" si="5"/>
        <v>500</v>
      </c>
      <c r="P22" s="5">
        <f t="shared" si="6"/>
        <v>1.2542613301129725E-2</v>
      </c>
      <c r="Q22" s="5">
        <f ca="1">SUM(R$18:R22)</f>
        <v>17</v>
      </c>
      <c r="R22" s="5">
        <f t="shared" ca="1" si="7"/>
        <v>3</v>
      </c>
      <c r="T22" s="1" t="s">
        <v>78</v>
      </c>
      <c r="U22" s="5">
        <v>16.111880677474549</v>
      </c>
      <c r="V22" s="5">
        <v>12.128010368366747</v>
      </c>
      <c r="W22" s="5">
        <v>15.031887245147738</v>
      </c>
      <c r="X22" s="5">
        <v>18.442568077358231</v>
      </c>
      <c r="Y22" s="5">
        <v>12.249246005224164</v>
      </c>
      <c r="Z22" s="5">
        <v>17.683195726271581</v>
      </c>
      <c r="AA22" s="5">
        <v>13.998284433278705</v>
      </c>
      <c r="AB22" s="5">
        <v>13.432415451921264</v>
      </c>
      <c r="AC22" s="5">
        <v>20.411210852453756</v>
      </c>
      <c r="AD22" s="5">
        <v>11.553105184550258</v>
      </c>
    </row>
    <row r="23" spans="2:30" x14ac:dyDescent="0.25">
      <c r="B23" s="5">
        <v>100</v>
      </c>
      <c r="C23" s="5">
        <v>1000</v>
      </c>
      <c r="D23" s="5">
        <v>2</v>
      </c>
      <c r="E23" s="5">
        <f t="shared" si="0"/>
        <v>1000</v>
      </c>
      <c r="F23" s="5">
        <f t="shared" si="1"/>
        <v>1.3876608675731518E-2</v>
      </c>
      <c r="G23" s="5">
        <f t="shared" si="2"/>
        <v>-12.91177457147386</v>
      </c>
      <c r="H23" s="5">
        <f>SUM(D$18:D23)/$C$12</f>
        <v>1.4E-2</v>
      </c>
      <c r="I23" s="5">
        <f t="shared" si="3"/>
        <v>-2.1972863766410518</v>
      </c>
      <c r="J23" s="5">
        <f t="shared" si="4"/>
        <v>-2.2007571954701977</v>
      </c>
      <c r="K23" s="5">
        <f>(F23-F20)*$C$12</f>
        <v>5.7980747049768464</v>
      </c>
      <c r="L23" s="5">
        <f>(SUM(D21:D23)-K23)^2 / K23</f>
        <v>0.10985081550901195</v>
      </c>
      <c r="N23" s="30">
        <v>2</v>
      </c>
      <c r="O23" s="5">
        <f t="shared" si="5"/>
        <v>1000</v>
      </c>
      <c r="P23" s="5">
        <f t="shared" si="6"/>
        <v>1.4058631738721374E-2</v>
      </c>
      <c r="Q23" s="5">
        <f ca="1">SUM(R$18:R23)</f>
        <v>19</v>
      </c>
      <c r="R23" s="5">
        <f t="shared" ca="1" si="7"/>
        <v>2</v>
      </c>
      <c r="T23" s="1" t="s">
        <v>80</v>
      </c>
      <c r="U23" s="5">
        <v>2.0509848507981387</v>
      </c>
      <c r="V23" s="5">
        <v>1.028558233895553</v>
      </c>
      <c r="W23" s="5">
        <v>2.1891980460342633</v>
      </c>
      <c r="X23" s="5">
        <v>1.3720897260909153</v>
      </c>
      <c r="Y23" s="5">
        <v>0.95525156110267984</v>
      </c>
      <c r="Z23" s="5">
        <v>1.5791286089527696</v>
      </c>
      <c r="AA23" s="5">
        <v>1.6087740080644943</v>
      </c>
      <c r="AB23" s="5">
        <v>0.91321271564529893</v>
      </c>
      <c r="AC23" s="5">
        <v>1.2172314167505141</v>
      </c>
      <c r="AD23" s="5">
        <v>0.90652780893983087</v>
      </c>
    </row>
    <row r="24" spans="2:30" x14ac:dyDescent="0.25">
      <c r="B24" s="1" t="s">
        <v>101</v>
      </c>
      <c r="T24" s="1" t="s">
        <v>58</v>
      </c>
      <c r="U24" s="5">
        <v>8.2727552584046515E-3</v>
      </c>
      <c r="V24" s="5">
        <v>1.475121833481674E-2</v>
      </c>
      <c r="W24" s="5">
        <v>6.1509410901723349E-3</v>
      </c>
      <c r="X24" s="5">
        <v>1.1658467826181296E-2</v>
      </c>
      <c r="Y24" s="5">
        <v>1.4489507051484218E-2</v>
      </c>
      <c r="Z24" s="5">
        <v>9.8395351845004253E-3</v>
      </c>
      <c r="AA24" s="5">
        <v>9.1015086028807257E-3</v>
      </c>
      <c r="AB24" s="5">
        <v>1.4086949987714092E-2</v>
      </c>
      <c r="AC24" s="5">
        <v>1.6041296526818627E-2</v>
      </c>
      <c r="AD24" s="5">
        <v>1.4020319994596298E-2</v>
      </c>
    </row>
    <row r="25" spans="2:30" x14ac:dyDescent="0.25">
      <c r="B25" s="5">
        <v>150</v>
      </c>
      <c r="C25" s="5">
        <v>1</v>
      </c>
      <c r="D25" s="5">
        <v>9</v>
      </c>
      <c r="E25" s="5">
        <f t="shared" ref="E25:E30" si="8">C25 * EXP($C$10/0.00008617*(1/($C$11+273.15)-1/($B25+273.15)))</f>
        <v>105.26275426573352</v>
      </c>
      <c r="F25" s="5">
        <f t="shared" ref="F25:F30" si="9">NORMDIST(LN(E25), $C$8, $C$9, TRUE)</f>
        <v>9.325336737919061E-3</v>
      </c>
      <c r="G25" s="5">
        <f t="shared" ref="G25:G30" si="10">D25*LN(F25-F24)</f>
        <v>-42.075181825193354</v>
      </c>
      <c r="H25" s="5">
        <f>SUM(D$25:D25)/$C$12</f>
        <v>8.9999999999999993E-3</v>
      </c>
      <c r="I25" s="5">
        <f t="shared" ref="I25:I30" si="11">NORMSINV(H25)</f>
        <v>-2.365618126864292</v>
      </c>
      <c r="J25" s="5">
        <f t="shared" ref="J25:J30" si="12">NORMSINV(F25)</f>
        <v>-2.3524404976469682</v>
      </c>
      <c r="K25" s="5">
        <f t="shared" ref="K25:K30" si="13">(F25-F24)*$C$12</f>
        <v>9.325336737919061</v>
      </c>
      <c r="L25" s="5">
        <f t="shared" ref="L25:L30" si="14">(D25-K25)^2 / K25</f>
        <v>1.1350152387465933E-2</v>
      </c>
      <c r="N25" s="30">
        <v>9</v>
      </c>
      <c r="O25" s="5">
        <f t="shared" ref="O25:O30" si="15">C25 * EXP($O$14/0.00008617*(1/($C$11+273.15)-1/($B25+273.15)))</f>
        <v>105.26275426573352</v>
      </c>
      <c r="P25" s="5">
        <f t="shared" ref="P25:P30" si="16">NORMDIST(LN(O25), $O$12, $O$13, TRUE)</f>
        <v>9.642154806950588E-3</v>
      </c>
      <c r="Q25" s="5">
        <f ca="1">SUM(R$25:R25)</f>
        <v>10</v>
      </c>
      <c r="R25" s="5">
        <f t="shared" ref="R25:R30" ca="1" si="17">CRITBINOM($C$12-Q24, P25-P24, RAND())</f>
        <v>10</v>
      </c>
    </row>
    <row r="26" spans="2:30" x14ac:dyDescent="0.25">
      <c r="B26" s="5">
        <v>150</v>
      </c>
      <c r="C26" s="5">
        <v>6</v>
      </c>
      <c r="D26" s="5">
        <v>5</v>
      </c>
      <c r="E26" s="5">
        <f t="shared" si="8"/>
        <v>631.57652559440112</v>
      </c>
      <c r="F26" s="5">
        <f t="shared" si="9"/>
        <v>1.281677346572513E-2</v>
      </c>
      <c r="G26" s="5">
        <f t="shared" si="10"/>
        <v>-28.28720978811058</v>
      </c>
      <c r="H26" s="5">
        <f>SUM(D$25:D26)/$C$12</f>
        <v>1.4E-2</v>
      </c>
      <c r="I26" s="5">
        <f t="shared" si="11"/>
        <v>-2.1972863766410518</v>
      </c>
      <c r="J26" s="5">
        <f t="shared" si="12"/>
        <v>-2.2317189055981914</v>
      </c>
      <c r="K26" s="5">
        <f t="shared" si="13"/>
        <v>3.4914367278060694</v>
      </c>
      <c r="L26" s="5">
        <f t="shared" si="14"/>
        <v>0.65181279903717204</v>
      </c>
      <c r="N26" s="30">
        <v>5</v>
      </c>
      <c r="O26" s="5">
        <f t="shared" si="15"/>
        <v>631.57652559440112</v>
      </c>
      <c r="P26" s="5">
        <f t="shared" si="16"/>
        <v>1.3036937319290785E-2</v>
      </c>
      <c r="Q26" s="5">
        <f ca="1">SUM(R$25:R26)</f>
        <v>11</v>
      </c>
      <c r="R26" s="5">
        <f t="shared" ca="1" si="17"/>
        <v>1</v>
      </c>
    </row>
    <row r="27" spans="2:30" x14ac:dyDescent="0.25">
      <c r="B27" s="5">
        <v>150</v>
      </c>
      <c r="C27" s="5">
        <v>48</v>
      </c>
      <c r="D27" s="5">
        <v>5</v>
      </c>
      <c r="E27" s="5">
        <f t="shared" si="8"/>
        <v>5052.6122047552089</v>
      </c>
      <c r="F27" s="5">
        <f t="shared" si="9"/>
        <v>1.8236509639504014E-2</v>
      </c>
      <c r="G27" s="5">
        <f t="shared" si="10"/>
        <v>-26.088540705699394</v>
      </c>
      <c r="H27" s="5">
        <f>SUM(D$25:D27)/$C$12</f>
        <v>1.9E-2</v>
      </c>
      <c r="I27" s="5">
        <f t="shared" si="11"/>
        <v>-2.0748547343933095</v>
      </c>
      <c r="J27" s="5">
        <f t="shared" si="12"/>
        <v>-2.091614445264514</v>
      </c>
      <c r="K27" s="5">
        <f t="shared" si="13"/>
        <v>5.4197361737788832</v>
      </c>
      <c r="L27" s="5">
        <f t="shared" si="14"/>
        <v>3.2506832423117249E-2</v>
      </c>
      <c r="N27" s="30">
        <v>5</v>
      </c>
      <c r="O27" s="5">
        <f t="shared" si="15"/>
        <v>5052.6122047552089</v>
      </c>
      <c r="P27" s="5">
        <f t="shared" si="16"/>
        <v>1.8228849389426174E-2</v>
      </c>
      <c r="Q27" s="5">
        <f ca="1">SUM(R$25:R27)</f>
        <v>15</v>
      </c>
      <c r="R27" s="5">
        <f t="shared" ca="1" si="17"/>
        <v>4</v>
      </c>
    </row>
    <row r="28" spans="2:30" x14ac:dyDescent="0.25">
      <c r="B28" s="5">
        <v>150</v>
      </c>
      <c r="C28" s="5">
        <v>168</v>
      </c>
      <c r="D28" s="5">
        <v>3</v>
      </c>
      <c r="E28" s="5">
        <f t="shared" si="8"/>
        <v>17684.142716643233</v>
      </c>
      <c r="F28" s="5">
        <f t="shared" si="9"/>
        <v>2.2363745004346042E-2</v>
      </c>
      <c r="G28" s="5">
        <f t="shared" si="10"/>
        <v>-16.470442498036483</v>
      </c>
      <c r="H28" s="5">
        <f>SUM(D$25:D28)/$C$12</f>
        <v>2.1999999999999999E-2</v>
      </c>
      <c r="I28" s="5">
        <f t="shared" si="11"/>
        <v>-2.0140908120181393</v>
      </c>
      <c r="J28" s="5">
        <f t="shared" si="12"/>
        <v>-2.0072082832690827</v>
      </c>
      <c r="K28" s="5">
        <f t="shared" si="13"/>
        <v>4.1272353648420284</v>
      </c>
      <c r="L28" s="5">
        <f t="shared" si="14"/>
        <v>0.30787184529738487</v>
      </c>
      <c r="N28" s="30">
        <v>3</v>
      </c>
      <c r="O28" s="5">
        <f t="shared" si="15"/>
        <v>17684.142716643233</v>
      </c>
      <c r="P28" s="5">
        <f t="shared" si="16"/>
        <v>2.2138219719419292E-2</v>
      </c>
      <c r="Q28" s="5">
        <f ca="1">SUM(R$25:R28)</f>
        <v>16</v>
      </c>
      <c r="R28" s="5">
        <f t="shared" ca="1" si="17"/>
        <v>1</v>
      </c>
    </row>
    <row r="29" spans="2:30" x14ac:dyDescent="0.25">
      <c r="B29" s="5">
        <v>150</v>
      </c>
      <c r="C29" s="5">
        <v>500</v>
      </c>
      <c r="D29" s="5">
        <v>2</v>
      </c>
      <c r="E29" s="5">
        <f t="shared" si="8"/>
        <v>52631.377132866757</v>
      </c>
      <c r="F29" s="5">
        <f t="shared" si="9"/>
        <v>2.6573471635503904E-2</v>
      </c>
      <c r="G29" s="5">
        <f t="shared" si="10"/>
        <v>-10.940715133225519</v>
      </c>
      <c r="H29" s="5">
        <f>SUM(D$25:D29)/$C$12</f>
        <v>2.4E-2</v>
      </c>
      <c r="I29" s="5">
        <f t="shared" si="11"/>
        <v>-1.9773684281819468</v>
      </c>
      <c r="J29" s="5">
        <f t="shared" si="12"/>
        <v>-1.9337250414233871</v>
      </c>
      <c r="K29" s="5">
        <f t="shared" si="13"/>
        <v>4.2097266311578627</v>
      </c>
      <c r="L29" s="5">
        <f t="shared" si="14"/>
        <v>1.159907094277346</v>
      </c>
      <c r="N29" s="30">
        <v>2</v>
      </c>
      <c r="O29" s="5">
        <f t="shared" si="15"/>
        <v>52631.377132866757</v>
      </c>
      <c r="P29" s="5">
        <f t="shared" si="16"/>
        <v>2.6096571962876979E-2</v>
      </c>
      <c r="Q29" s="5">
        <f ca="1">SUM(R$25:R29)</f>
        <v>19</v>
      </c>
      <c r="R29" s="5">
        <f t="shared" ca="1" si="17"/>
        <v>3</v>
      </c>
    </row>
    <row r="30" spans="2:30" x14ac:dyDescent="0.25">
      <c r="B30" s="5">
        <v>150</v>
      </c>
      <c r="C30" s="5">
        <v>1000</v>
      </c>
      <c r="D30" s="5">
        <v>5</v>
      </c>
      <c r="E30" s="5">
        <f t="shared" si="8"/>
        <v>105262.75426573351</v>
      </c>
      <c r="F30" s="5">
        <f t="shared" si="9"/>
        <v>2.9578578786365908E-2</v>
      </c>
      <c r="G30" s="5">
        <f t="shared" si="10"/>
        <v>-29.037210270529439</v>
      </c>
      <c r="H30" s="5">
        <f>SUM(D$25:D30)/$C$12</f>
        <v>2.9000000000000001E-2</v>
      </c>
      <c r="I30" s="5">
        <f t="shared" si="11"/>
        <v>-1.8956979239918383</v>
      </c>
      <c r="J30" s="5">
        <f t="shared" si="12"/>
        <v>-1.8870235546454941</v>
      </c>
      <c r="K30" s="5">
        <f t="shared" si="13"/>
        <v>3.0051071508620035</v>
      </c>
      <c r="L30" s="5">
        <f t="shared" si="14"/>
        <v>1.3242780638954523</v>
      </c>
      <c r="N30" s="30">
        <v>5</v>
      </c>
      <c r="O30" s="5">
        <f t="shared" si="15"/>
        <v>105262.75426573351</v>
      </c>
      <c r="P30" s="5">
        <f t="shared" si="16"/>
        <v>2.8907641191782983E-2</v>
      </c>
      <c r="Q30" s="5">
        <f ca="1">SUM(R$25:R30)</f>
        <v>21</v>
      </c>
      <c r="R30" s="5">
        <f t="shared" ca="1" si="17"/>
        <v>2</v>
      </c>
    </row>
    <row r="32" spans="2:30" x14ac:dyDescent="0.25">
      <c r="B32" s="1" t="s">
        <v>98</v>
      </c>
      <c r="C32" s="5" t="s">
        <v>69</v>
      </c>
      <c r="D32" s="5">
        <f>$C$12-SUM(D18:D23)</f>
        <v>986</v>
      </c>
      <c r="F32" s="5">
        <f>1-F23</f>
        <v>0.98612339132426852</v>
      </c>
      <c r="G32" s="5">
        <f>D32*LN(F32)</f>
        <v>-13.77815583407668</v>
      </c>
      <c r="K32" s="5">
        <f>F32*$C$12</f>
        <v>986.12339132426848</v>
      </c>
      <c r="L32" s="5">
        <f>(D32-K32)^2 / K32</f>
        <v>1.5439669151629627E-5</v>
      </c>
    </row>
    <row r="33" spans="2:12" x14ac:dyDescent="0.25">
      <c r="B33" s="1" t="s">
        <v>101</v>
      </c>
      <c r="C33" s="5" t="s">
        <v>69</v>
      </c>
      <c r="D33" s="5">
        <f>$C$12-SUM(D25:D30)</f>
        <v>971</v>
      </c>
      <c r="F33" s="5">
        <f>1-F30</f>
        <v>0.97042142121363406</v>
      </c>
      <c r="G33" s="5">
        <f>D33*LN(F33)</f>
        <v>-29.154126411247841</v>
      </c>
      <c r="K33" s="5">
        <f>F33*$C$12</f>
        <v>970.42142121363406</v>
      </c>
      <c r="L33" s="5">
        <f>(D33-K33)^2 / K33</f>
        <v>3.4495674221002911E-4</v>
      </c>
    </row>
    <row r="35" spans="2:12" x14ac:dyDescent="0.25">
      <c r="K35" s="18" t="s">
        <v>8</v>
      </c>
      <c r="L35" s="32">
        <f>SUM(L18:L33)</f>
        <v>3.9650107695915868</v>
      </c>
    </row>
    <row r="36" spans="2:12" x14ac:dyDescent="0.25">
      <c r="K36" s="18" t="s">
        <v>7</v>
      </c>
      <c r="L36" s="32">
        <f>11-1-3</f>
        <v>7</v>
      </c>
    </row>
    <row r="37" spans="2:12" x14ac:dyDescent="0.25">
      <c r="K37" s="18" t="s">
        <v>9</v>
      </c>
      <c r="L37" s="3">
        <f>CHIDIST(L35,L36)</f>
        <v>0.78379856463869491</v>
      </c>
    </row>
  </sheetData>
  <mergeCells count="4">
    <mergeCell ref="I15:J15"/>
    <mergeCell ref="K15:L15"/>
    <mergeCell ref="T11:V11"/>
    <mergeCell ref="T19:U1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Ex 8.1</vt:lpstr>
      <vt:lpstr>Ex 8.2</vt:lpstr>
      <vt:lpstr>Ex 8.3</vt:lpstr>
      <vt:lpstr>Ex 8.4</vt:lpstr>
      <vt:lpstr>Ex 8.5a</vt:lpstr>
      <vt:lpstr>Ex 8.5b</vt:lpstr>
      <vt:lpstr>Ex 8.6</vt:lpstr>
      <vt:lpstr>Ex 9.1</vt:lpstr>
    </vt:vector>
  </TitlesOfParts>
  <Company>Intel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scjohnso</dc:creator>
  <cp:lastModifiedBy>scjohnso</cp:lastModifiedBy>
  <dcterms:created xsi:type="dcterms:W3CDTF">2013-01-28T08:18:19Z</dcterms:created>
  <dcterms:modified xsi:type="dcterms:W3CDTF">2013-02-04T21:46:13Z</dcterms:modified>
</cp:coreProperties>
</file>